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1.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9.xml" ContentType="application/vnd.openxmlformats-officedocument.spreadsheetml.worksheet+xml"/>
  <Override PartName="/xl/worksheets/sheet14.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15.xml" ContentType="application/vnd.openxmlformats-officedocument.spreadsheetml.worksheet+xml"/>
  <Override PartName="/xl/worksheets/sheet4.xml" ContentType="application/vnd.openxmlformats-officedocument.spreadsheetml.worksheet+xml"/>
  <Override PartName="/xl/worksheets/sheet1.xml" ContentType="application/vnd.openxmlformats-officedocument.spreadsheetml.worksheet+xml"/>
  <Override PartName="/xl/worksheets/sheet7.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8.xml" ContentType="application/vnd.openxmlformats-officedocument.spreadsheetml.worksheet+xml"/>
  <Override PartName="/xl/worksheets/sheet13.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00_Cockpit" sheetId="1" state="visible" r:id="rId3"/>
    <sheet name="01_Kennwerte" sheetId="2" state="visible" r:id="rId4"/>
    <sheet name="02_Flächenspiegel" sheetId="3" state="visible" r:id="rId5"/>
    <sheet name="03_Phase A Villette I" sheetId="4" state="visible" r:id="rId6"/>
    <sheet name="04_Phase B Concierge+Spitex" sheetId="5" state="visible" r:id="rId7"/>
    <sheet name="05_Phase D Campus" sheetId="6" state="visible" r:id="rId8"/>
    <sheet name="06_Phase C Villette II" sheetId="7" state="visible" r:id="rId9"/>
    <sheet name="07_Planung &amp; Agenda" sheetId="8" state="visible" r:id="rId10"/>
    <sheet name="08_Annahmen" sheetId="9" state="visible" r:id="rId11"/>
    <sheet name="09_Szenarien" sheetId="10" state="visible" r:id="rId12"/>
    <sheet name="10_Marktdaten FPRE" sheetId="11" state="visible" r:id="rId13"/>
    <sheet name="11_Flächen &amp; Mieten" sheetId="12" state="visible" r:id="rId14"/>
    <sheet name="12_Ertragsrechnung" sheetId="13" state="visible" r:id="rId15"/>
    <sheet name="13_Bewertung" sheetId="14" state="visible" r:id="rId16"/>
    <sheet name="14_DCF" sheetId="15" state="visible" r:id="rId17"/>
    <sheet name="15_Sensitivität" sheetId="16" state="visible" r:id="rId18"/>
    <sheet name="16_Residualwert" sheetId="17" state="visible" r:id="rId19"/>
    <sheet name="17_Vergleich bisher" sheetId="18" state="visible" r:id="rId20"/>
    <sheet name="18_Prüfprotokoll" sheetId="19" state="visible" r:id="rId21"/>
    <sheet name="19_Glossar &amp; Quellen" sheetId="20" state="visible" r:id="rId22"/>
  </sheet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M8" authorId="0">
      <text>
        <r>
          <rPr>
            <sz val="10"/>
            <rFont val="Arial"/>
            <family val="2"/>
          </rPr>
          <t xml:space="preserve">Formel aus Quelle: GV ui = GF ui × 3.2 (Schätzung).</t>
        </r>
      </text>
    </comment>
  </commentList>
</comments>
</file>

<file path=xl/sharedStrings.xml><?xml version="1.0" encoding="utf-8"?>
<sst xmlns="http://schemas.openxmlformats.org/spreadsheetml/2006/main" count="3734" uniqueCount="838">
  <si>
    <t xml:space="preserve">URBANSTREET</t>
  </si>
  <si>
    <t xml:space="preserve">Wasserschlosspark Untersiggenthal</t>
  </si>
  <si>
    <t xml:space="preserve">Kennwerte, Renditebewertung und Residualwert — Version Concierge ACE</t>
  </si>
  <si>
    <t xml:space="preserve">Steigstrasse 20, 5417 Untersiggenthal  ·  Stand 28. September 2026  ·  Ertragswert- und DCF-Verfahren, Residualwertmethode  ·  indikativ</t>
  </si>
  <si>
    <t xml:space="preserve">ERGEBNIS IM AKTIVEN SZENARIO</t>
  </si>
  <si>
    <t xml:space="preserve">Kennzahl</t>
  </si>
  <si>
    <t xml:space="preserve">Wert</t>
  </si>
  <si>
    <t xml:space="preserve">Einheit</t>
  </si>
  <si>
    <t xml:space="preserve">Bemerkung</t>
  </si>
  <si>
    <t xml:space="preserve">Aktives Szenario</t>
  </si>
  <si>
    <t xml:space="preserve">1 Konservativ · 2 Basis · 3 Topsegment · 4 Individuell (Blatt 08, Zelle C5)</t>
  </si>
  <si>
    <t xml:space="preserve">Hauptnutzfläche HNF</t>
  </si>
  <si>
    <t xml:space="preserve">m²</t>
  </si>
  <si>
    <t xml:space="preserve">inkl. Concierge ACE 4'121 m²</t>
  </si>
  <si>
    <t xml:space="preserve">Volumen GV oi+ui</t>
  </si>
  <si>
    <t xml:space="preserve">m³</t>
  </si>
  <si>
    <t xml:space="preserve">Masterplan ACE</t>
  </si>
  <si>
    <t xml:space="preserve">Sollmietertrag pro Jahr</t>
  </si>
  <si>
    <t xml:space="preserve">CHF</t>
  </si>
  <si>
    <t xml:space="preserve">netto ohne NK, inkl. Parking, Saal</t>
  </si>
  <si>
    <t xml:space="preserve">Nettoertrag pro Jahr</t>
  </si>
  <si>
    <t xml:space="preserve">nach Mietzinsausfall und Bewirtschaftung</t>
  </si>
  <si>
    <t xml:space="preserve">Ertragswert stabilisiert</t>
  </si>
  <si>
    <t xml:space="preserve">Nettoertrag ÷ Kapitalisierungssatz je Nutzung</t>
  </si>
  <si>
    <t xml:space="preserve">DCF-Marktwert inkl. Erstvermietung</t>
  </si>
  <si>
    <t xml:space="preserve">mit Erstvermietungsphase und Exit-Zuschlag</t>
  </si>
  <si>
    <t xml:space="preserve">Bruttorendite auf Ertragswert</t>
  </si>
  <si>
    <t xml:space="preserve">Ergebnis, nicht Eingabe</t>
  </si>
  <si>
    <t xml:space="preserve">Nettorendite auf Ertragswert</t>
  </si>
  <si>
    <t xml:space="preserve">Anlagevolumen (AK möglich)</t>
  </si>
  <si>
    <t xml:space="preserve">Mio CHF</t>
  </si>
  <si>
    <t xml:space="preserve">A–D gemäss Budgetplanung + Concierge ACE</t>
  </si>
  <si>
    <t xml:space="preserve">EK notwendig neu</t>
  </si>
  <si>
    <t xml:space="preserve">UG CHF 500/m³, oberirdisch bisheriger Kennwert</t>
  </si>
  <si>
    <t xml:space="preserve">Residualwert (AK-Basis)</t>
  </si>
  <si>
    <t xml:space="preserve">bisher 40.0 Mio (Budgetplanung)</t>
  </si>
  <si>
    <t xml:space="preserve">Residualwert (Ertragswert-Basis)</t>
  </si>
  <si>
    <t xml:space="preserve">alle Baufelder im Bestand bewertet</t>
  </si>
  <si>
    <t xml:space="preserve">ERGEBNIS NACH PHASE</t>
  </si>
  <si>
    <t xml:space="preserve">Phase</t>
  </si>
  <si>
    <t xml:space="preserve">HNF m²</t>
  </si>
  <si>
    <t xml:space="preserve">Sollertrag CHF</t>
  </si>
  <si>
    <t xml:space="preserve">Nettoertrag CHF</t>
  </si>
  <si>
    <t xml:space="preserve">Ertragswert CHF</t>
  </si>
  <si>
    <t xml:space="preserve">Bruttorendite</t>
  </si>
  <si>
    <t xml:space="preserve">Phase A · Villette I inkl. TG Villette</t>
  </si>
  <si>
    <t xml:space="preserve">Phase B · Concierge ACE + Spitex Umbau inkl. öffentliche TG</t>
  </si>
  <si>
    <t xml:space="preserve">Phase D · Campus Small + Campus Medium</t>
  </si>
  <si>
    <t xml:space="preserve">Phase C · Villette II</t>
  </si>
  <si>
    <t xml:space="preserve">TOTAL</t>
  </si>
  <si>
    <t xml:space="preserve">CONCIERGE ACE — NEUE ERTRAGSQUELLEN</t>
  </si>
  <si>
    <t xml:space="preserve">Position</t>
  </si>
  <si>
    <t xml:space="preserve">Sollertrag CHF/Jahr</t>
  </si>
  <si>
    <t xml:space="preserve">Nettoertrag CHF/Jahr</t>
  </si>
  <si>
    <t xml:space="preserve">Kap.satz</t>
  </si>
  <si>
    <t xml:space="preserve">Studios und Residenzen (35 Einheiten)</t>
  </si>
  <si>
    <t xml:space="preserve">Gewerbe EG</t>
  </si>
  <si>
    <t xml:space="preserve">Eventsaal UG (Betriebsmodell)</t>
  </si>
  <si>
    <t xml:space="preserve">Öffentliche TG 101 PP (Parkpay, ABB)</t>
  </si>
  <si>
    <t xml:space="preserve">Total Concierge ACE</t>
  </si>
  <si>
    <t xml:space="preserve">BEWERTUNGSANSATZ</t>
  </si>
  <si>
    <t xml:space="preserve">Bewertungsobjekt</t>
  </si>
  <si>
    <t xml:space="preserve">Sämtliche Etappen und Teilgebiete des Wasserschlossparks als Renditeliegenschaft im Bestand, mit der aktuellen Projektversion Concierge ACE (Eventsaal im UG, Gewerbe EG, 19 Studios und 16 Residenzen, öffentliche Tiefgarage mit 101 PP).</t>
  </si>
  <si>
    <t xml:space="preserve">Mietansatz</t>
  </si>
  <si>
    <t xml:space="preserve">Nutzungsspezifisch aus den hedonischen Referenzwerten von Fahrländer Partner für Untersiggenthal, korrigiert um Wohnungsgrösse (Degression), Ausbaustandard und Mikrolage. Eventsaal und öffentliche TG nach Betriebsmodell (Blatt 08).</t>
  </si>
  <si>
    <t xml:space="preserve">Wertermittlung</t>
  </si>
  <si>
    <t xml:space="preserve">Direktkapitalisierung des Nettoertrags je Nutzung; Gegenrechnung mit zehnjährigem DCF. Residualwert = AK möglich − EK (UG CHF 500/m³, oberirdisch bisheriger Kennwert, Concierge CHF 700/m³) − Masterplan/NK/VK/Zins.</t>
  </si>
  <si>
    <t xml:space="preserve">Wesentliche Vorbehalte</t>
  </si>
  <si>
    <t xml:space="preserve">Absorption in einer Gemeinde mit 7'873 Einwohnern bleibt der kritische Punkt (FPRE: +19 Mietwohnungen p.a., Geschäftsflächen bis 2040 negativ). Neu: Betreiberrisiko Eventsaal und Abhängigkeit der TG-Erträge von einem Rahmenvertrag mit ABB — beides in der Sensitivität (Blatt 15) abgebildet.</t>
  </si>
  <si>
    <t xml:space="preserve">Erstellt von Urbanstreet AG · Marktdaten Fahrländer Partner AG (Gemeindecheck Untersiggenthal, 3. Q. 2026) · Flächen aus Übersichtstabelle Kennwerte WSP (bereinigt, 28.09.2026) · indikativ, kein Schätzungsgutachten nach SVS oder RICS.</t>
  </si>
  <si>
    <t xml:space="preserve">Projektkennwerte aktuell – Version Concierge ACE</t>
  </si>
  <si>
    <t xml:space="preserve">Masterplan-Stand · Flächen m², Volumen m³ · Quelle: 202_Übersichtstabelle_Kennwerte_WSP (bereinigte Fassung 28.09.2026), Blatt «nach Masterplan ACE»</t>
  </si>
  <si>
    <t xml:space="preserve">Nr.</t>
  </si>
  <si>
    <t xml:space="preserve">Baufeld</t>
  </si>
  <si>
    <t xml:space="preserve">Teilprojekt</t>
  </si>
  <si>
    <t xml:space="preserve">GF oi Wohnen m²</t>
  </si>
  <si>
    <t xml:space="preserve">GF oi Gewerbe m²</t>
  </si>
  <si>
    <t xml:space="preserve">GF oi Total m²</t>
  </si>
  <si>
    <t xml:space="preserve">HNF Wohnen m²</t>
  </si>
  <si>
    <t xml:space="preserve">HNF Gewerbe m²</t>
  </si>
  <si>
    <t xml:space="preserve">HNF Total m²</t>
  </si>
  <si>
    <t xml:space="preserve">GV oi m³</t>
  </si>
  <si>
    <t xml:space="preserve">GF ui m²</t>
  </si>
  <si>
    <t xml:space="preserve">GV ui m³</t>
  </si>
  <si>
    <t xml:space="preserve">GF oi+ui m²</t>
  </si>
  <si>
    <t xml:space="preserve">GV oi+ui m³</t>
  </si>
  <si>
    <t xml:space="preserve">PP oi</t>
  </si>
  <si>
    <t xml:space="preserve">PP ui</t>
  </si>
  <si>
    <t xml:space="preserve">PP Total</t>
  </si>
  <si>
    <t xml:space="preserve">Einheiten Wohnen*</t>
  </si>
  <si>
    <t xml:space="preserve">Einheiten Gewerbe/Büro*</t>
  </si>
  <si>
    <t xml:space="preserve">A</t>
  </si>
  <si>
    <t xml:space="preserve">Villette 1 BE</t>
  </si>
  <si>
    <t xml:space="preserve">B</t>
  </si>
  <si>
    <t xml:space="preserve">Spitex Umbau</t>
  </si>
  <si>
    <t xml:space="preserve">C</t>
  </si>
  <si>
    <t xml:space="preserve">Villette 2 W3</t>
  </si>
  <si>
    <t xml:space="preserve">Concierge ACE</t>
  </si>
  <si>
    <t xml:space="preserve">D</t>
  </si>
  <si>
    <t xml:space="preserve">Campus Medium</t>
  </si>
  <si>
    <t xml:space="preserve">Campus Small</t>
  </si>
  <si>
    <t xml:space="preserve">Total Wasserschlosspark</t>
  </si>
  <si>
    <t xml:space="preserve">Nutzungsmix</t>
  </si>
  <si>
    <t xml:space="preserve">Nutzung</t>
  </si>
  <si>
    <t xml:space="preserve">Anteil GF oi</t>
  </si>
  <si>
    <t xml:space="preserve">Anteil HNF</t>
  </si>
  <si>
    <t xml:space="preserve">Wohnen</t>
  </si>
  <si>
    <t xml:space="preserve">Gewerbe</t>
  </si>
  <si>
    <t xml:space="preserve">Nutzungskategorien wie in der Quelle: Campus (Gewerbe, Büro, Wotel) als «Gewerbe». Concierge ACE: «Gewerbe» = Eventsaal UG + Gewerbe EG, «Wohnen» = Studios und Residenzen OG1/OG2.</t>
  </si>
  <si>
    <t xml:space="preserve">* Einheiten aus Blatt 02 (vermietbar; Gemeinschaftszonen Spitex nicht gezählt). Blau = Quelle · Schwarz = Formel · Grün = Verknüpfung · gelb hinterlegt = Concierge ACE.</t>
  </si>
  <si>
    <t xml:space="preserve">Flächenspiegel nach Teilprojekt – Version Concierge ACE</t>
  </si>
  <si>
    <t xml:space="preserve">HNF je Einheitstyp · oben Summen je Teilprojekt, unten Detail · Quelle: 202_Übersichtstabelle_Kennwerte_WSP (bereinigt), Blatt «Flächenspiegel nach Teilprojekt»</t>
  </si>
  <si>
    <t xml:space="preserve">HNF Büro m²</t>
  </si>
  <si>
    <t xml:space="preserve">Einheiten</t>
  </si>
  <si>
    <t xml:space="preserve">HNF Blatt 01 m²</t>
  </si>
  <si>
    <t xml:space="preserve">Differenz m²</t>
  </si>
  <si>
    <t xml:space="preserve">Differenzen &lt; 1 m² = Rundung zwischen Flächenspiegel (HNF × Stk.) und Masterplan-Tabelle.</t>
  </si>
  <si>
    <t xml:space="preserve">¹ OG1/OG2 ohne Typ in der Quelle; gemäss Vorgabe Zin (28.09.2026) als Residenzen. Aufteilung in Einheiten mit Ø 77.5 m² (Mix bisheriges Concierge: 4.5/3.5/6×2.5 Zi.) – Annahme.</t>
  </si>
  <si>
    <t xml:space="preserve">Eventsaal: UG-Gewerbefläche, ins Erdreich abgesenkt, doppelgeschossig (GV 5'103 m³ auf GF 1'134 m² ≈ 4.5 m lichte Höhe, Blatt «nach Teilprojekt» der Originaldatei).</t>
  </si>
  <si>
    <t xml:space="preserve">Geschoss</t>
  </si>
  <si>
    <t xml:space="preserve">Typ</t>
  </si>
  <si>
    <t xml:space="preserve">HNF je Einheit m²</t>
  </si>
  <si>
    <t xml:space="preserve">Stk.</t>
  </si>
  <si>
    <t xml:space="preserve">vermietbar (1/0)</t>
  </si>
  <si>
    <t xml:space="preserve">EG</t>
  </si>
  <si>
    <t xml:space="preserve">Typ1</t>
  </si>
  <si>
    <t xml:space="preserve">Typ2</t>
  </si>
  <si>
    <t xml:space="preserve">Typ3</t>
  </si>
  <si>
    <t xml:space="preserve">Typ4</t>
  </si>
  <si>
    <t xml:space="preserve">OG</t>
  </si>
  <si>
    <t xml:space="preserve">Büro</t>
  </si>
  <si>
    <t xml:space="preserve">AT</t>
  </si>
  <si>
    <t xml:space="preserve">Wotel Typ1</t>
  </si>
  <si>
    <t xml:space="preserve">Wotel Typ2</t>
  </si>
  <si>
    <t xml:space="preserve">Wotel Typ3</t>
  </si>
  <si>
    <t xml:space="preserve">Wotel Typ4</t>
  </si>
  <si>
    <t xml:space="preserve">UG</t>
  </si>
  <si>
    <t xml:space="preserve">Eventsaal, abgesenkt, doppelgeschossig</t>
  </si>
  <si>
    <t xml:space="preserve">Gewerbefläche EG</t>
  </si>
  <si>
    <t xml:space="preserve">OG1</t>
  </si>
  <si>
    <t xml:space="preserve">Studio</t>
  </si>
  <si>
    <t xml:space="preserve">Residenz (Ø-Grösse, 1'006.87 m² ÷ 13) ¹</t>
  </si>
  <si>
    <t xml:space="preserve">OG2</t>
  </si>
  <si>
    <t xml:space="preserve">Residenz (Ø-Grösse, 254.00 m² ÷ 3) ¹</t>
  </si>
  <si>
    <t xml:space="preserve">Gemeinschaftszone 1</t>
  </si>
  <si>
    <t xml:space="preserve">Einzelstudio</t>
  </si>
  <si>
    <t xml:space="preserve">4.5 Zi.-Whg.</t>
  </si>
  <si>
    <t xml:space="preserve">Gemeinschaftszone 2</t>
  </si>
  <si>
    <t xml:space="preserve">Gemeinschaftszone</t>
  </si>
  <si>
    <t xml:space="preserve">7.5 Zi.-Whg.</t>
  </si>
  <si>
    <t xml:space="preserve">5.5 Zi.-Whg.</t>
  </si>
  <si>
    <t xml:space="preserve">3.5 Zi.-Whg.</t>
  </si>
  <si>
    <t xml:space="preserve">Phase A — Villette I inkl. TG Villette</t>
  </si>
  <si>
    <t xml:space="preserve">Villette I mit 24 Wohnungen im obersten Segment und Tiefgarage Villette (55 PP). Baueingabe 22.07.2026 erfolgt.</t>
  </si>
  <si>
    <t xml:space="preserve">KENNZAHLEN</t>
  </si>
  <si>
    <t xml:space="preserve">WIRTSCHAFTLICHKEIT</t>
  </si>
  <si>
    <t xml:space="preserve">AK möglich</t>
  </si>
  <si>
    <t xml:space="preserve">Geschossfläche oi+ui</t>
  </si>
  <si>
    <t xml:space="preserve">EK notwendig</t>
  </si>
  <si>
    <t xml:space="preserve">Volumen oberirdisch</t>
  </si>
  <si>
    <t xml:space="preserve">Masterplan + NK + VK + Zins</t>
  </si>
  <si>
    <t xml:space="preserve">Volumen UG</t>
  </si>
  <si>
    <t xml:space="preserve">Volumen total</t>
  </si>
  <si>
    <t xml:space="preserve">Parkplätze oberirdisch</t>
  </si>
  <si>
    <t xml:space="preserve">PP</t>
  </si>
  <si>
    <t xml:space="preserve">Residualwert (EW-Basis)</t>
  </si>
  <si>
    <t xml:space="preserve">Parkplätze UG</t>
  </si>
  <si>
    <t xml:space="preserve">DCF-Marktwert</t>
  </si>
  <si>
    <t xml:space="preserve">Einheiten Wohnen</t>
  </si>
  <si>
    <t xml:space="preserve">Planungsbudget</t>
  </si>
  <si>
    <t xml:space="preserve">Einheiten Gewerbe/Büro</t>
  </si>
  <si>
    <t xml:space="preserve">Planungsbudget in % EK</t>
  </si>
  <si>
    <t xml:space="preserve">%</t>
  </si>
  <si>
    <t xml:space="preserve">TERMINE (Bauablauf 17.09.2026)</t>
  </si>
  <si>
    <t xml:space="preserve">Zonenänderung</t>
  </si>
  <si>
    <t xml:space="preserve">Baueingabe</t>
  </si>
  <si>
    <t xml:space="preserve">Baustart</t>
  </si>
  <si>
    <t xml:space="preserve">Bauende / Bezug</t>
  </si>
  <si>
    <t xml:space="preserve">ERTRAGSQUELLEN</t>
  </si>
  <si>
    <t xml:space="preserve">DCF-Wert CHF</t>
  </si>
  <si>
    <t xml:space="preserve">Parking</t>
  </si>
  <si>
    <t xml:space="preserve">Total Phase A</t>
  </si>
  <si>
    <t xml:space="preserve">Ertragswert je m² HNF</t>
  </si>
  <si>
    <t xml:space="preserve">MITTELVERWENDUNG PLANUNG (CHF)</t>
  </si>
  <si>
    <t xml:space="preserve">Q4 2026</t>
  </si>
  <si>
    <t xml:space="preserve">Q1 2027</t>
  </si>
  <si>
    <t xml:space="preserve">Q2 2027</t>
  </si>
  <si>
    <t xml:space="preserve">Q3 2027</t>
  </si>
  <si>
    <t xml:space="preserve">Q4 2027</t>
  </si>
  <si>
    <t xml:space="preserve">Q1 2028</t>
  </si>
  <si>
    <t xml:space="preserve">Q2 2028</t>
  </si>
  <si>
    <t xml:space="preserve">Q3 2028</t>
  </si>
  <si>
    <t xml:space="preserve">Summe</t>
  </si>
  <si>
    <t xml:space="preserve">FLÄCHENSPIEGEL (Blatt 02)</t>
  </si>
  <si>
    <t xml:space="preserve">Phase B — Concierge ACE + Spitex Umbau inkl. öffentliche TG</t>
  </si>
  <si>
    <t xml:space="preserve">Concierge ACE mit abgesenktem Eventsaal, Gewerbe EG, 19 Studios und 16 Residenzen, dazu Umbau und Aufstockung Spitex sowie die grosse öffentliche Tiefgarage (101 PP).</t>
  </si>
  <si>
    <t xml:space="preserve">Residenz</t>
  </si>
  <si>
    <t xml:space="preserve">Saal</t>
  </si>
  <si>
    <t xml:space="preserve">Parking öffentlich</t>
  </si>
  <si>
    <t xml:space="preserve">Total Phase B</t>
  </si>
  <si>
    <t xml:space="preserve">EVENTSAAL UND ÖFFENTLICHE TIEFGARAGE (Annahmen Blatt 08)</t>
  </si>
  <si>
    <t xml:space="preserve">Anlässe pro Jahr</t>
  </si>
  <si>
    <t xml:space="preserve">Anz.</t>
  </si>
  <si>
    <t xml:space="preserve">Tagesmiete Anlass</t>
  </si>
  <si>
    <t xml:space="preserve">Tagungen werktags</t>
  </si>
  <si>
    <t xml:space="preserve">Tage</t>
  </si>
  <si>
    <t xml:space="preserve">Tagesmiete Tagung</t>
  </si>
  <si>
    <t xml:space="preserve">Sollertrag Saal</t>
  </si>
  <si>
    <t xml:space="preserve">CHF/Jahr</t>
  </si>
  <si>
    <t xml:space="preserve">Tageskarten ABB</t>
  </si>
  <si>
    <t xml:space="preserve">Tarif Tageskarte</t>
  </si>
  <si>
    <t xml:space="preserve">CHF/Tag</t>
  </si>
  <si>
    <t xml:space="preserve">Ertrag ABB</t>
  </si>
  <si>
    <t xml:space="preserve">Ertrag Anlässe TG</t>
  </si>
  <si>
    <t xml:space="preserve">Ertrag Kurzparkieren</t>
  </si>
  <si>
    <t xml:space="preserve">Sollertrag öffentliche TG</t>
  </si>
  <si>
    <t xml:space="preserve">Phase D — Campus Small + Campus Medium</t>
  </si>
  <si>
    <t xml:space="preserve">Campus Small und Campus Medium: Gewerbe EG, Büros OG, Wotel im Attika.</t>
  </si>
  <si>
    <t xml:space="preserve">Wotel</t>
  </si>
  <si>
    <t xml:space="preserve">Total Phase D</t>
  </si>
  <si>
    <t xml:space="preserve">Phase C — Villette II</t>
  </si>
  <si>
    <t xml:space="preserve">Villette II mit 48 Wohnungen; setzt eine Zonenänderung voraus (ca. 2 Jahre).</t>
  </si>
  <si>
    <t xml:space="preserve">Total Phase C</t>
  </si>
  <si>
    <t xml:space="preserve">Planung &amp; Agenda — Phasen, Planungsbudget CHF 10 Mio und Mittelverwendung</t>
  </si>
  <si>
    <t xml:space="preserve">Phasen A → B → D → C · Bauablauf Stand 17.09.2026 · Mittelverwendung Planung +24 Monate (Q4 2026 – Q3 2028) · gelbe Zellen = Annahmen</t>
  </si>
  <si>
    <t xml:space="preserve">1  PHASEN UND PLANUNGSBUDGET</t>
  </si>
  <si>
    <t xml:space="preserve">Projektteile</t>
  </si>
  <si>
    <t xml:space="preserve">Planungs-
budget Mio</t>
  </si>
  <si>
    <t xml:space="preserve">Anteil
Budget</t>
  </si>
  <si>
    <t xml:space="preserve">EK notwendig
Mio</t>
  </si>
  <si>
    <t xml:space="preserve">Budget
% EK</t>
  </si>
  <si>
    <t xml:space="preserve">Residualwert
Mio (AK)</t>
  </si>
  <si>
    <t xml:space="preserve">Ertragswert
Mio</t>
  </si>
  <si>
    <t xml:space="preserve">Bezug</t>
  </si>
  <si>
    <t xml:space="preserve">Phase A</t>
  </si>
  <si>
    <t xml:space="preserve">Villette I inkl. TG Villette</t>
  </si>
  <si>
    <t xml:space="preserve">Phase B</t>
  </si>
  <si>
    <t xml:space="preserve">Concierge ACE + Spitex Umbau inkl. öffentliche TG</t>
  </si>
  <si>
    <t xml:space="preserve">Phase D</t>
  </si>
  <si>
    <t xml:space="preserve">Campus Small + Campus Medium</t>
  </si>
  <si>
    <t xml:space="preserve">Phase C</t>
  </si>
  <si>
    <t xml:space="preserve">Villette II</t>
  </si>
  <si>
    <t xml:space="preserve">NK</t>
  </si>
  <si>
    <t xml:space="preserve">Nebenkosten arealweit</t>
  </si>
  <si>
    <t xml:space="preserve">Total Planungsbudget</t>
  </si>
  <si>
    <t xml:space="preserve">Rahmen Planungsbudget CHF 10 Mio (Budgetplanung +24 Monate). Differenz zum Rahmen:</t>
  </si>
  <si>
    <t xml:space="preserve">2  BAUABLAUF JE PHASE (Stand 17.09.2026)</t>
  </si>
  <si>
    <t xml:space="preserve">–</t>
  </si>
  <si>
    <t xml:space="preserve">22.07.2026 (eingereicht)</t>
  </si>
  <si>
    <t xml:space="preserve">Q1 2029</t>
  </si>
  <si>
    <t xml:space="preserve">Baugespann 03.08.2026; TG Villette 55 PP</t>
  </si>
  <si>
    <t xml:space="preserve">Q4 2029</t>
  </si>
  <si>
    <t xml:space="preserve">Concierge ACE, Spitex Umbau, öffentliche TG 101 PP</t>
  </si>
  <si>
    <t xml:space="preserve">Q1 2030</t>
  </si>
  <si>
    <t xml:space="preserve">Campus Small + Medium, TU-Offerte</t>
  </si>
  <si>
    <t xml:space="preserve">Q1 2029 (nach Bewilligung Zonenänderung)</t>
  </si>
  <si>
    <t xml:space="preserve">offen</t>
  </si>
  <si>
    <t xml:space="preserve">Q4 2031 (Reserve 2032/33)</t>
  </si>
  <si>
    <t xml:space="preserve">Zonenänderung nötig, ca. 2 Jahre; Termine provisorisch</t>
  </si>
  <si>
    <t xml:space="preserve">3  MITTELVERWENDUNG PLANUNG — +24 MONATE</t>
  </si>
  <si>
    <t xml:space="preserve">Anteil je Quartal</t>
  </si>
  <si>
    <t xml:space="preserve">Budget Mio</t>
  </si>
  <si>
    <t xml:space="preserve">Nebenkosten</t>
  </si>
  <si>
    <t xml:space="preserve">Mittelabfluss CHF</t>
  </si>
  <si>
    <t xml:space="preserve">Budget CHF</t>
  </si>
  <si>
    <t xml:space="preserve">Total je Quartal</t>
  </si>
  <si>
    <t xml:space="preserve">kumuliert</t>
  </si>
  <si>
    <t xml:space="preserve">kumuliert in % des Rahmens</t>
  </si>
  <si>
    <t xml:space="preserve">4  MEILENSTEINE IM BUDGETZEITRAUM</t>
  </si>
  <si>
    <t xml:space="preserve">S Baustart</t>
  </si>
  <si>
    <t xml:space="preserve">E Baueingabe</t>
  </si>
  <si>
    <t xml:space="preserve">Z Zonenänderung</t>
  </si>
  <si>
    <t xml:space="preserve">Z = Zonenänderung · E = Baueingabe · S = Baustart (Bauablauf 17.09.2026). Villette I: Baueingabe 22.07.2026 bereits erfolgt, Bewilligung und Ausführungsplanung laufen im Budgetzeitraum.</t>
  </si>
  <si>
    <t xml:space="preserve">Profile je Phase: Planungsmittel fliessen bis zum Baustart; danach nur noch Ausführungsplanung. Summe je Zeile muss 100 % ergeben (Spalte Summe).</t>
  </si>
  <si>
    <t xml:space="preserve">Annahmen und Regler</t>
  </si>
  <si>
    <t xml:space="preserve">Blau = Eingabe · gelb = Schlüsselannahme · Grün = Verweis · Schwarz = Formel. Alle Rechenblätter rechnen ausschliesslich gegen dieses Blatt.</t>
  </si>
  <si>
    <t xml:space="preserve">Szenario (1 = Konservativ · 2 = Basis · 3 = Topsegment · 4 = Individuell)</t>
  </si>
  <si>
    <t xml:space="preserve">GLOBALE PARAMETER</t>
  </si>
  <si>
    <t xml:space="preserve">Parameter</t>
  </si>
  <si>
    <t xml:space="preserve">Herkunft</t>
  </si>
  <si>
    <t xml:space="preserve">Mikrolagezuschlag (Park, Aare, Nachbarschaft ABB/Hitachi)</t>
  </si>
  <si>
    <t xml:space="preserve">Szenario</t>
  </si>
  <si>
    <t xml:space="preserve">Parkingmiete Wohnen</t>
  </si>
  <si>
    <t xml:space="preserve">CHF/Monat</t>
  </si>
  <si>
    <t xml:space="preserve">Parkingmiete Geschäft</t>
  </si>
  <si>
    <t xml:space="preserve">Faktor Gemeinschaftszonen (Ertragsanteil)</t>
  </si>
  <si>
    <t xml:space="preserve">Eigene Setzung</t>
  </si>
  <si>
    <t xml:space="preserve">Anteil Verkaufscharakter in den Gewerbeflächen</t>
  </si>
  <si>
    <t xml:space="preserve">Mietniveau-Shift (Stresstest, additiv auf alle Mieten)</t>
  </si>
  <si>
    <t xml:space="preserve">Kapitalisierungssatz-Shift (Stresstest)</t>
  </si>
  <si>
    <t xml:space="preserve">Exit-Zuschlag auf Kapitalisierungssatz (DCF)</t>
  </si>
  <si>
    <t xml:space="preserve">Alterung über 10 Jahre</t>
  </si>
  <si>
    <t xml:space="preserve">DCF-Betrachtungsperiode</t>
  </si>
  <si>
    <t xml:space="preserve">Jahre</t>
  </si>
  <si>
    <t xml:space="preserve">NUTZUNGSPARAMETER</t>
  </si>
  <si>
    <t xml:space="preserve">Referenzmiete
CHF/m²a</t>
  </si>
  <si>
    <t xml:space="preserve">Bezugsfläche
m²</t>
  </si>
  <si>
    <t xml:space="preserve">Degressions-
exponent</t>
  </si>
  <si>
    <t xml:space="preserve">Qualitäts-
zuschlag</t>
  </si>
  <si>
    <t xml:space="preserve">Mietzins-
ausfall</t>
  </si>
  <si>
    <t xml:space="preserve">Bewirtschaftung
% Sollertrag</t>
  </si>
  <si>
    <t xml:space="preserve">FPRE-Diskont-
satz</t>
  </si>
  <si>
    <t xml:space="preserve">Risiko-
zuschlag</t>
  </si>
  <si>
    <t xml:space="preserve">Netto-Kapitali-
sierungssatz</t>
  </si>
  <si>
    <t xml:space="preserve">Mietwachstum
p.a. (DCF)</t>
  </si>
  <si>
    <t xml:space="preserve">Erstvermietung
Ausfall J1</t>
  </si>
  <si>
    <t xml:space="preserve">Parking-
schlüssel</t>
  </si>
  <si>
    <t xml:space="preserve">—</t>
  </si>
  <si>
    <t xml:space="preserve">Marktmiete je Einheit = Referenzmiete × (Bezugsfläche ÷ HNF)^Degressionsexponent × (1 + Qualitätszuschlag) × (1 + Mikrolagezuschlag) × (1 + Mietniveau-Shift)</t>
  </si>
  <si>
    <t xml:space="preserve">Nettokapitalisierungssatz = FPRE-Diskontierungssatz (netto, real) + Risikozuschlag + Stress-Shift. Parking: Risikozuschlag = absoluter Satz (FPRE ohne eigenen Satz für Abstellplätze).</t>
  </si>
  <si>
    <t xml:space="preserve">Degressionsexponent 0.31 aus der FPRE-Zimmergrössenreihe Untersiggenthal (1.5-Zi 377 · 2.5-Zi 307 · 3.5-Zi 291 · 4.5-Zi 271 CHF/m² HNF a; R² &gt; 0.99).</t>
  </si>
  <si>
    <t xml:space="preserve">Gewerbe: Miete als Mischung Gewerbe/Verkauf (35 % Verkaufscharakter), Diskontsatz bewusst mit dem höheren reinen Gewerbesatz 5.10 %.</t>
  </si>
  <si>
    <t xml:space="preserve">Saal: Referenzmiete = Sollertrag Eventbetrieb ÷ HNF (Blatt 08, Zeilen 43–51); Mietzinsausfall = Buchungsschwankung, Bewirtschaftung = Betrieb (Reinigung, Technik, Hauswart, Buchung). Risikozuschlag +1.5 %-Pkt. auf Gewerbe = Betreiberrisiko.</t>
  </si>
  <si>
    <t xml:space="preserve">Parking öffentlich: Ertrag aus dem TG-Betriebsmodell (Zeilen 54–72); Bewirtschaftung 18 % = Parkpay-/App-Kommission, Kontrolle, Unterhalt, Beleuchtung, Reinigung; Satz 5.0 % (Parking 4.5 % + 0.5 %-Pkt. für Auslastungsrisiko).</t>
  </si>
  <si>
    <t xml:space="preserve">EVENTSAAL CONCIERGE ACE — UG, ins Erdreich abgesenkt, doppelgeschossig</t>
  </si>
  <si>
    <t xml:space="preserve">Herleitung / Bemerkung</t>
  </si>
  <si>
    <t xml:space="preserve">Anlässe pro Jahr (Abende, Wochenenden)</t>
  </si>
  <si>
    <t xml:space="preserve">Ambitioniert, analog Parking-Annahme (Vorgabe Zin 28.09.2026)</t>
  </si>
  <si>
    <t xml:space="preserve">Tagesmiete Anlass (Saal inkl. Grundausstattung)</t>
  </si>
  <si>
    <t xml:space="preserve">Saal ~1'000 m² HNF, Region Baden; Technik/Catering separat verrechnet</t>
  </si>
  <si>
    <t xml:space="preserve">Tagungen / Seminare werktags (ABB, Hitachi, Firmen)</t>
  </si>
  <si>
    <t xml:space="preserve">Nähe zu ~1'200 Arbeitsplätzen ABB</t>
  </si>
  <si>
    <t xml:space="preserve">Tagesmiete Tagung / Seminar</t>
  </si>
  <si>
    <t xml:space="preserve">Werktagstarif</t>
  </si>
  <si>
    <t xml:space="preserve">Ertrag Anlässe</t>
  </si>
  <si>
    <t xml:space="preserve">Ertrag Tagungen</t>
  </si>
  <si>
    <t xml:space="preserve">SOLLERTRAG SAAL</t>
  </si>
  <si>
    <t xml:space="preserve">brutto, vor Buchungsausfall und Betrieb (Zeile 28)</t>
  </si>
  <si>
    <t xml:space="preserve">HNF Saal (aus Flächen &amp; Mieten)</t>
  </si>
  <si>
    <t xml:space="preserve">Ertrag je m² HNF</t>
  </si>
  <si>
    <t xml:space="preserve">CHF/m²a</t>
  </si>
  <si>
    <t xml:space="preserve">zum Vergleich: Gewerbe EG ~150–175 CHF/m²a</t>
  </si>
  <si>
    <t xml:space="preserve">ÖFFENTLICHE TIEFGARAGE CONCIERGE ACE — Parkpay / App-Bewirtschaftung</t>
  </si>
  <si>
    <t xml:space="preserve">Parkplätze TG total</t>
  </si>
  <si>
    <t xml:space="preserve">Kennwerte Masterplan ACE</t>
  </si>
  <si>
    <t xml:space="preserve">davon Tageskarten ABB (Mo–Fr)</t>
  </si>
  <si>
    <t xml:space="preserve">~1'200 Arbeitsplätze ABB in Gehdistanz</t>
  </si>
  <si>
    <t xml:space="preserve">Ambitioniert (Vorgabe Zin)</t>
  </si>
  <si>
    <t xml:space="preserve">Arbeitstage pro Jahr</t>
  </si>
  <si>
    <t xml:space="preserve">Auslastung Tageskarten</t>
  </si>
  <si>
    <t xml:space="preserve">Ertrag ABB-Tageskarten</t>
  </si>
  <si>
    <t xml:space="preserve">Anlässe pro Jahr (Saal)</t>
  </si>
  <si>
    <t xml:space="preserve">Verknüpft mit Eventsaal</t>
  </si>
  <si>
    <t xml:space="preserve">belegte PP je Anlass</t>
  </si>
  <si>
    <t xml:space="preserve">abends/Wochenende, ABB-Plätze dann frei</t>
  </si>
  <si>
    <t xml:space="preserve">Tarif je Anlass und PP</t>
  </si>
  <si>
    <t xml:space="preserve">Pauschale via Parkpay</t>
  </si>
  <si>
    <t xml:space="preserve">PP Kurzparkieren (Rest)</t>
  </si>
  <si>
    <t xml:space="preserve">Betriebsstunden pro Tag</t>
  </si>
  <si>
    <t xml:space="preserve">h</t>
  </si>
  <si>
    <t xml:space="preserve">Betriebstage pro Jahr</t>
  </si>
  <si>
    <t xml:space="preserve">Auslastung Kurzparkieren</t>
  </si>
  <si>
    <t xml:space="preserve">Tarif Kurzparkieren</t>
  </si>
  <si>
    <t xml:space="preserve">CHF/h</t>
  </si>
  <si>
    <t xml:space="preserve">SOLLERTRAG ÖFFENTLICHES PARKING</t>
  </si>
  <si>
    <t xml:space="preserve">brutto, vor Ausfall und Bewirtschaftung (Zeile 29)</t>
  </si>
  <si>
    <t xml:space="preserve">Ertrag je PP und Monat</t>
  </si>
  <si>
    <t xml:space="preserve">zum Vergleich: Parkingmiete Geschäft (Zeile 11)</t>
  </si>
  <si>
    <t xml:space="preserve">ERSTELLUNGSKOSTEN — VOLUMENANSÄTZE (Vorgabe Zin 28.09.2026)</t>
  </si>
  <si>
    <t xml:space="preserve">CHF/m³</t>
  </si>
  <si>
    <t xml:space="preserve">Herleitung</t>
  </si>
  <si>
    <t xml:space="preserve">UG-Volumen alle Baufelder (Tiefgarage, Keller)</t>
  </si>
  <si>
    <t xml:space="preserve">Vorgabe Zin: grosse UG mit Tiefgaragen</t>
  </si>
  <si>
    <t xml:space="preserve">Villette I – oberirdisch (A)</t>
  </si>
  <si>
    <t xml:space="preserve">EK bisher 22 Mio ÷ Volumen bisher 31'400 m³</t>
  </si>
  <si>
    <t xml:space="preserve">Spitex Umbau – oberirdisch (B)</t>
  </si>
  <si>
    <t xml:space="preserve">EK bisher 3 Mio ÷ Volumen bisher 5'000 m³</t>
  </si>
  <si>
    <t xml:space="preserve">Villette II – oberirdisch (C)</t>
  </si>
  <si>
    <t xml:space="preserve">EK bisher 50 Mio ÷ Volumen bisher 60'000 m³</t>
  </si>
  <si>
    <t xml:space="preserve">Campus – oberirdisch (D)</t>
  </si>
  <si>
    <t xml:space="preserve">EK bisher 28 Mio (TU-Offerte) ÷ GV total aktuell (bisher kein Volumen)</t>
  </si>
  <si>
    <t xml:space="preserve">Concierge ACE – oberirdisch</t>
  </si>
  <si>
    <t xml:space="preserve">Vorgabe Zin</t>
  </si>
  <si>
    <t xml:space="preserve">Der bisherige Kennwert je Baufeld galt für das Gesamtvolumen. Neu: bisheriger Kennwert nur noch oberirdisch, UG einheitlich CHF 500/m³.</t>
  </si>
  <si>
    <t xml:space="preserve">Szenarien — Parametersätze</t>
  </si>
  <si>
    <t xml:space="preserve">Die Auswahl erfolgt auf dem Blatt «Annahmen» in Zelle C4. Spalte «Individuell» ist frei editierbar (blau).</t>
  </si>
  <si>
    <t xml:space="preserve">Szenario-Nummer</t>
  </si>
  <si>
    <t xml:space="preserve">Konservativ</t>
  </si>
  <si>
    <t xml:space="preserve">Basis</t>
  </si>
  <si>
    <t xml:space="preserve">Topsegment</t>
  </si>
  <si>
    <t xml:space="preserve">Individuell</t>
  </si>
  <si>
    <t xml:space="preserve">Bezeichnung</t>
  </si>
  <si>
    <t xml:space="preserve">GLOBAL</t>
  </si>
  <si>
    <t xml:space="preserve">Mikrolagezuschlag (alle Nutzungen)</t>
  </si>
  <si>
    <t xml:space="preserve">Parkingmiete Wohnen (CHF/Monat)</t>
  </si>
  <si>
    <t xml:space="preserve">Parkingmiete Geschäft (CHF/Monat)</t>
  </si>
  <si>
    <t xml:space="preserve">QUALITÄTS- UND AUSBAUZUSCHLAG je Nutzung</t>
  </si>
  <si>
    <t xml:space="preserve">   Wohnen</t>
  </si>
  <si>
    <t xml:space="preserve">   Residenz</t>
  </si>
  <si>
    <t xml:space="preserve">   Wotel</t>
  </si>
  <si>
    <t xml:space="preserve">   Büro</t>
  </si>
  <si>
    <t xml:space="preserve">   Gewerbe</t>
  </si>
  <si>
    <t xml:space="preserve">   Parking</t>
  </si>
  <si>
    <t xml:space="preserve">MIETZINSAUSFALL, stabilisiert</t>
  </si>
  <si>
    <t xml:space="preserve">RISIKOZUSCHLAG auf FPRE-Diskontierungssatz</t>
  </si>
  <si>
    <t xml:space="preserve">Hinweis: Der Risikozuschlag für Parking ist als absoluter Nettokapitalisierungssatz zu lesen (FPRE führt für Abstellplätze keinen eigenen Diskontierungssatz; der Basiswert ist auf 0 gesetzt).</t>
  </si>
  <si>
    <t xml:space="preserve">ERGEBNISVERGLEICH DER SZENARIEN</t>
  </si>
  <si>
    <t xml:space="preserve">Hochrechnung aus dem aktiven Modell: Qualitäts- und Mikrolagezuschlag multiplikativ auf die Miete, Risikozuschlag additiv auf den Kapitalisierungssatz. Eventsaal und öffentliches Parking sind szenariounabhängig (eigene Parameter, Blatt 08).</t>
  </si>
  <si>
    <t xml:space="preserve">Nettorendite</t>
  </si>
  <si>
    <t xml:space="preserve">Ertragswert CHF/m² HNF</t>
  </si>
  <si>
    <t xml:space="preserve">Marktdaten Fahrländer Partner — Untersiggenthal</t>
  </si>
  <si>
    <t xml:space="preserve">Gemeindecheck Wohnen und Geschäft, Ortschaft Untersiggenthal (FPRE: CH-19-000548, BFS 4044), 3. Quartal 2026. Hedonische Modelle IMBAS, Datenstand Transaktionen 30. Juni 2026.</t>
  </si>
  <si>
    <t xml:space="preserve">REFERENZMIETEN — BASIS DES BEWERTUNGSMODELLS</t>
  </si>
  <si>
    <t xml:space="preserve">Kennwert</t>
  </si>
  <si>
    <t xml:space="preserve">Quelle / Definition</t>
  </si>
  <si>
    <t xml:space="preserve">Marktmiete MWG Neubau, 4.5-Zi (100 m² HNF)</t>
  </si>
  <si>
    <t xml:space="preserve">CHF/m² HNF a</t>
  </si>
  <si>
    <t xml:space="preserve">FPRE: 2'260 CHF/Mt bei 110 m² Wohnfläche / 100 m² HNF SIA 416</t>
  </si>
  <si>
    <t xml:space="preserve">Marktmiete Büroflächen Neubau (150 m² NF)</t>
  </si>
  <si>
    <t xml:space="preserve">CHF/m² NF a</t>
  </si>
  <si>
    <t xml:space="preserve">FPRE: Neubau, 1. OG, Edelrohbau, durchschnittliche Bürolage</t>
  </si>
  <si>
    <t xml:space="preserve">Marktmiete Gewerbeflächen (Median)</t>
  </si>
  <si>
    <t xml:space="preserve">FPRE Median Ortschaft Untersiggenthal</t>
  </si>
  <si>
    <t xml:space="preserve">Marktmiete Verkaufsflächen Neubau (150 m² NF)</t>
  </si>
  <si>
    <t xml:space="preserve">FPRE: Neubau, EG, Edelrohbau, gute Verkaufslage</t>
  </si>
  <si>
    <t xml:space="preserve">DISKONTIERUNGSSÄTZE FPRE (NETTO, REAL; NEUBAU, DURCHSCHN. STANDARD UND MIKROLAGE)</t>
  </si>
  <si>
    <t xml:space="preserve">Satz</t>
  </si>
  <si>
    <t xml:space="preserve">Mietwohnungen (MWG)</t>
  </si>
  <si>
    <t xml:space="preserve">Basis für Wohnen, Residenz und Wotel</t>
  </si>
  <si>
    <t xml:space="preserve">durchschnittliche Bürolage</t>
  </si>
  <si>
    <t xml:space="preserve">Verkauf</t>
  </si>
  <si>
    <t xml:space="preserve">gute Verkaufslage</t>
  </si>
  <si>
    <t xml:space="preserve">durchschnittliche Mikrolage</t>
  </si>
  <si>
    <t xml:space="preserve">VERTEILUNG DER MARKTMIETEN — WOHNEN 4–4.5 ZIMMER, NEUBAU (CHF/M²A, WOHNFLÄCHENBASIS)</t>
  </si>
  <si>
    <t xml:space="preserve">Datenquelle</t>
  </si>
  <si>
    <t xml:space="preserve">Untergrenze</t>
  </si>
  <si>
    <t xml:space="preserve">1. Quartil</t>
  </si>
  <si>
    <t xml:space="preserve">Median</t>
  </si>
  <si>
    <t xml:space="preserve">3. Quartil</t>
  </si>
  <si>
    <t xml:space="preserve">Obergrenze</t>
  </si>
  <si>
    <t xml:space="preserve">auf HNF ×1.10 (Q3)</t>
  </si>
  <si>
    <t xml:space="preserve">Transaktionsdaten</t>
  </si>
  <si>
    <t xml:space="preserve">Angebotsdaten</t>
  </si>
  <si>
    <t xml:space="preserve">VERTEILUNG DER MARKTMIETEN — GESCHÄFTSFLÄCHEN (CHF/M²A)</t>
  </si>
  <si>
    <t xml:space="preserve">Nutzung / Datenquelle</t>
  </si>
  <si>
    <t xml:space="preserve">Büro · Transaktionsdaten</t>
  </si>
  <si>
    <t xml:space="preserve">Büro · Angebotsdaten</t>
  </si>
  <si>
    <t xml:space="preserve">Verkauf · Transaktionsdaten</t>
  </si>
  <si>
    <t xml:space="preserve">Verkauf · Angebotsdaten</t>
  </si>
  <si>
    <t xml:space="preserve">Gewerbe · Transaktionsdaten</t>
  </si>
  <si>
    <t xml:space="preserve">MAKRO-LAGERATING FPRE, GEMEINDE UNTERSIGGENTHAL</t>
  </si>
  <si>
    <t xml:space="preserve">Segment</t>
  </si>
  <si>
    <t xml:space="preserve">aktuell</t>
  </si>
  <si>
    <t xml:space="preserve">prospektiv</t>
  </si>
  <si>
    <t xml:space="preserve">Markttemperatur</t>
  </si>
  <si>
    <t xml:space="preserve">Trend real</t>
  </si>
  <si>
    <t xml:space="preserve">Einschätzung FPRE</t>
  </si>
  <si>
    <t xml:space="preserve">Wohnen (MWG)</t>
  </si>
  <si>
    <t xml:space="preserve">hoch</t>
  </si>
  <si>
    <t xml:space="preserve">≈</t>
  </si>
  <si>
    <t xml:space="preserve">Guter Standort mit relativem Verbesserungspotential</t>
  </si>
  <si>
    <t xml:space="preserve">hoch – sehr hoch</t>
  </si>
  <si>
    <t xml:space="preserve">Durchschnittlicher Standort, gleichbleibender Ausblick</t>
  </si>
  <si>
    <t xml:space="preserve">Spitzenindustrie</t>
  </si>
  <si>
    <t xml:space="preserve">Ungünstiger Standort, gleichbleibender Ausblick</t>
  </si>
  <si>
    <t xml:space="preserve">MARKT- UND NACHFRAGEKENNZAHLEN</t>
  </si>
  <si>
    <t xml:space="preserve">Leerstandsquote Gemeinde 2025</t>
  </si>
  <si>
    <t xml:space="preserve">0.84 %</t>
  </si>
  <si>
    <t xml:space="preserve">gesunken von 3.12 % (2019); MS Baden 0.9 %, FPRE-Region Zürich 0.6 %</t>
  </si>
  <si>
    <t xml:space="preserve">Wohnungsbestand 2024</t>
  </si>
  <si>
    <t xml:space="preserve">3'566</t>
  </si>
  <si>
    <t xml:space="preserve">davon 1'084 EFH; Bautätigkeit Ø 39 Wohnungen p.a. (2019–2024)</t>
  </si>
  <si>
    <t xml:space="preserve">Zusatznachfrage MWG 2024–2040</t>
  </si>
  <si>
    <t xml:space="preserve">301 Wohnungen (19 p.a.)</t>
  </si>
  <si>
    <t xml:space="preserve">Prospektivmodell FPRE, mittleres Szenario</t>
  </si>
  <si>
    <t xml:space="preserve">Zusatznachfrage Wohneigentum 2024–2040</t>
  </si>
  <si>
    <t xml:space="preserve">386 Wohnungen (24 p.a.)</t>
  </si>
  <si>
    <t xml:space="preserve">Zusatznachfrage Geschäftsflächen 2023–2040</t>
  </si>
  <si>
    <t xml:space="preserve">–19'626 m² BGF (–5.4 %)</t>
  </si>
  <si>
    <t xml:space="preserve">negativ; 2. Sektor –27'353 m², 3. Sektor +7'727 m²</t>
  </si>
  <si>
    <t xml:space="preserve">Chancenreiche Nachfragersegmente</t>
  </si>
  <si>
    <t xml:space="preserve">Urbane Avantgarde · Bildungsorientierte Oberschicht · Etablierte Alternative</t>
  </si>
  <si>
    <t xml:space="preserve">stützt die Positionierung im obersten Segment</t>
  </si>
  <si>
    <t xml:space="preserve">Haushalte obere Schichten 2024</t>
  </si>
  <si>
    <t xml:space="preserve">27.5 %</t>
  </si>
  <si>
    <t xml:space="preserve">Schweiz 33.7 % — unterdurchschnittliche Kaufkraftbasis vor Ort</t>
  </si>
  <si>
    <t xml:space="preserve">Beschäftigte C26 Datenverarbeitungsgeräte</t>
  </si>
  <si>
    <t xml:space="preserve">1'283 VZA (80 % der Industrie-VZA)</t>
  </si>
  <si>
    <t xml:space="preserve">ABB / Hitachi Energy in unmittelbarer Nachbarschaft</t>
  </si>
  <si>
    <t xml:space="preserve">Fahrzeit öV nach Baden / Zürich</t>
  </si>
  <si>
    <t xml:space="preserve">17 / 48 Minuten</t>
  </si>
  <si>
    <t xml:space="preserve">MIV Baden 17 Min., Zürich 48 Min.</t>
  </si>
  <si>
    <t xml:space="preserve">Quelle: Fahrländer Partner AG, Zürich — Gemeindecheck Wohnen und Gemeindecheck Geschäft, Gemeinde Untersiggenthal, 3. Quartal 2026; Makro-Lageratings Wohnen (MWG), Büro sowie Gewerbe/Industrie, 3. Quartal 2026. Modelle IMBAS/RESC, Datenstand Transaktionen 30. Juni 2026. Alle Rechte bei Fahrländer Partner AG.</t>
  </si>
  <si>
    <t xml:space="preserve">Flächen- und Mietenspiegel</t>
  </si>
  <si>
    <t xml:space="preserve">Jede Einheit einzeln. Flächen aus Übersichtstabelle Kennwerte WSP (bereinigt, 28.09.2026). Mietansatz nach der Formel auf Blatt 08.</t>
  </si>
  <si>
    <t xml:space="preserve">Teilgebiet</t>
  </si>
  <si>
    <t xml:space="preserve">Nutzung (Quelle)</t>
  </si>
  <si>
    <t xml:space="preserve">Typ / Grösse</t>
  </si>
  <si>
    <t xml:space="preserve">Nutzungsklasse</t>
  </si>
  <si>
    <t xml:space="preserve">Gemein-
schaft</t>
  </si>
  <si>
    <t xml:space="preserve">Grössen-
faktor</t>
  </si>
  <si>
    <t xml:space="preserve">Marktmiete
CHF/m²a</t>
  </si>
  <si>
    <t xml:space="preserve">Sollertrag
CHF/Jahr</t>
  </si>
  <si>
    <t xml:space="preserve">nein</t>
  </si>
  <si>
    <t xml:space="preserve">ja</t>
  </si>
  <si>
    <t xml:space="preserve">Gewerbe (Saal)</t>
  </si>
  <si>
    <t xml:space="preserve">Residenz Ø 77.5 m²</t>
  </si>
  <si>
    <t xml:space="preserve">Residenz Ø 84.7 m²</t>
  </si>
  <si>
    <t xml:space="preserve">Ertragsrechnung je Teilgebiet und Nutzung</t>
  </si>
  <si>
    <t xml:space="preserve">Sollertrag = Marktmiete netto ohne Nebenkosten. Parking je Teilgebiet aus dem Parkingschlüssel; Concierge ACE: öffentliche TG nach Betriebsmodell (Blatt 08).</t>
  </si>
  <si>
    <t xml:space="preserve">Ø CHF/m²a</t>
  </si>
  <si>
    <t xml:space="preserve">Ausfall
%</t>
  </si>
  <si>
    <t xml:space="preserve">Mietzinsausfall
CHF</t>
  </si>
  <si>
    <t xml:space="preserve">Effektiver
Ertrag CHF</t>
  </si>
  <si>
    <t xml:space="preserve">Bewirt-
schaftung %</t>
  </si>
  <si>
    <t xml:space="preserve">Bewirtschaftung
CHF</t>
  </si>
  <si>
    <t xml:space="preserve">Nettoertrag
CHF/Jahr</t>
  </si>
  <si>
    <t xml:space="preserve">Einheiten Parking = rechnerische Abstellplätze aus dem Parkingschlüssel (Blatt 08, Spalte N). Concierge ACE: 101 PP öffentliche TG – die Bewohner der Residenzen parkieren ebenfalls dort (keine Doppelzählung).</t>
  </si>
  <si>
    <t xml:space="preserve">Bewertung — Ertragswert und DCF</t>
  </si>
  <si>
    <t xml:space="preserve">Stabilisierter Ertragswert = Nettoertrag ÷ Nettokapitalisierungssatz. DCF-Marktwert berücksichtigt zusätzlich die Erstvermietungsphase (Blatt 14).</t>
  </si>
  <si>
    <t xml:space="preserve">Ertragswert
CHF</t>
  </si>
  <si>
    <t xml:space="preserve">Anteil am
Portfolio</t>
  </si>
  <si>
    <t xml:space="preserve">CHF/m² HNF</t>
  </si>
  <si>
    <t xml:space="preserve">DCF-Marktwert
CHF</t>
  </si>
  <si>
    <t xml:space="preserve">Erstvermietungs-
abschlag</t>
  </si>
  <si>
    <t xml:space="preserve">ZUSAMMENFASSUNG NACH PHASE</t>
  </si>
  <si>
    <t xml:space="preserve">DCF-Marktwert CHF</t>
  </si>
  <si>
    <t xml:space="preserve">ZUSAMMENFASSUNG NACH TEILGEBIET (inkl. Parking)</t>
  </si>
  <si>
    <t xml:space="preserve">ZUSAMMENFASSUNG NACH NUTZUNG</t>
  </si>
  <si>
    <t xml:space="preserve">Anteil Wert</t>
  </si>
  <si>
    <t xml:space="preserve">POSITIONIERUNG DER MIETANSÄTZE IN DER FPRE-MARKTVERTEILUNG</t>
  </si>
  <si>
    <t xml:space="preserve">Verglichen wird jeweils gegen das FPRE-Referenzobjekt, damit der Grösseneffekt die Aussage nicht verzerrt. Perzentil = Rang in der Verteilung (lineare Interpolation).</t>
  </si>
  <si>
    <t xml:space="preserve">Nutzung / Vergleichsbasis</t>
  </si>
  <si>
    <t xml:space="preserve">Projektmiete
CHF/m²a</t>
  </si>
  <si>
    <t xml:space="preserve">FPRE Median</t>
  </si>
  <si>
    <t xml:space="preserve">FPRE 3. Quartil</t>
  </si>
  <si>
    <t xml:space="preserve">FPRE Obergrenze</t>
  </si>
  <si>
    <t xml:space="preserve">Perzentil</t>
  </si>
  <si>
    <t xml:space="preserve">Datenquelle FPRE</t>
  </si>
  <si>
    <t xml:space="preserve">Wohnen · Referenzobjekt 4.5-Zi, 110 m² Wohnfläche</t>
  </si>
  <si>
    <t xml:space="preserve">Angebotsdaten MWG Neubau, 4–4.5 Zimmer</t>
  </si>
  <si>
    <t xml:space="preserve">Wohnen · dieselbe Miete gegen Transaktionsdaten</t>
  </si>
  <si>
    <t xml:space="preserve">Transaktionsdaten MWG Neubau, 4–4.5 Zimmer</t>
  </si>
  <si>
    <t xml:space="preserve">Büro · Referenzobjekt 150 m² NF</t>
  </si>
  <si>
    <t xml:space="preserve">Angebotsdaten Büroflächen</t>
  </si>
  <si>
    <t xml:space="preserve">Gewerbe · Referenzobjekt 150 m² NF</t>
  </si>
  <si>
    <t xml:space="preserve">Transaktionsdaten Gewerbe; Mischansatz 35 % Verkaufscharakter</t>
  </si>
  <si>
    <t xml:space="preserve">DCF — Ertragswert unter Berücksichtigung der Erstvermietung</t>
  </si>
  <si>
    <t xml:space="preserve">Konsistenzregel: Diskontierungssatz = Nettokapitalisierungssatz + Mietwachstum. Ohne Erstvermietung und Exit-Zuschlag ergibt der DCF exakt den Ertragswert.</t>
  </si>
  <si>
    <t xml:space="preserve">PARAMETER UND ERGEBNIS JE NUTZUNG</t>
  </si>
  <si>
    <t xml:space="preserve">Sollertrag
Jahr 1</t>
  </si>
  <si>
    <t xml:space="preserve">Miet-
wachstum</t>
  </si>
  <si>
    <t xml:space="preserve">Ausfall
stabil.</t>
  </si>
  <si>
    <t xml:space="preserve">Erstverm.
Ausfall J1</t>
  </si>
  <si>
    <t xml:space="preserve">Bewirt-
schaftung</t>
  </si>
  <si>
    <t xml:space="preserve">Diskont-
satz</t>
  </si>
  <si>
    <t xml:space="preserve">Exit-
Kap.satz</t>
  </si>
  <si>
    <t xml:space="preserve">Terminal
Value CHF</t>
  </si>
  <si>
    <t xml:space="preserve">Barwert TV</t>
  </si>
  <si>
    <t xml:space="preserve">Barwert CF
Jahr 1–10</t>
  </si>
  <si>
    <t xml:space="preserve">Jahr</t>
  </si>
  <si>
    <t xml:space="preserve">1</t>
  </si>
  <si>
    <t xml:space="preserve">2</t>
  </si>
  <si>
    <t xml:space="preserve">3</t>
  </si>
  <si>
    <t xml:space="preserve">4</t>
  </si>
  <si>
    <t xml:space="preserve">5</t>
  </si>
  <si>
    <t xml:space="preserve">6</t>
  </si>
  <si>
    <t xml:space="preserve">7</t>
  </si>
  <si>
    <t xml:space="preserve">8</t>
  </si>
  <si>
    <t xml:space="preserve">9</t>
  </si>
  <si>
    <t xml:space="preserve">10</t>
  </si>
  <si>
    <t xml:space="preserve">Exit / TV</t>
  </si>
  <si>
    <t xml:space="preserve">Sollertrag</t>
  </si>
  <si>
    <t xml:space="preserve">Ausfallquote</t>
  </si>
  <si>
    <t xml:space="preserve">Mietzinsausfall</t>
  </si>
  <si>
    <t xml:space="preserve">Bewirtschaftung</t>
  </si>
  <si>
    <t xml:space="preserve">Nettoertrag</t>
  </si>
  <si>
    <t xml:space="preserve">Diskontfaktor</t>
  </si>
  <si>
    <t xml:space="preserve">Barwert</t>
  </si>
  <si>
    <t xml:space="preserve">Sensitivität und Treiberanalyse</t>
  </si>
  <si>
    <t xml:space="preserve">Alle Werte rechnen live gegen das aktive Szenario auf Blatt 08.</t>
  </si>
  <si>
    <t xml:space="preserve">RECHENBASIS JE NUTZUNG</t>
  </si>
  <si>
    <t xml:space="preserve">TOTAL (= Ertragswert Portfolio)</t>
  </si>
  <si>
    <t xml:space="preserve">davon Parking (Schlüssel) zum Wohnungssatz</t>
  </si>
  <si>
    <t xml:space="preserve">davon Parking (Schlüssel) zum Geschäftssatz</t>
  </si>
  <si>
    <t xml:space="preserve">ERTRAGSWERT IN MIO. CHF — MIETNIVEAU × KAPITALISIERUNGSSATZ</t>
  </si>
  <si>
    <t xml:space="preserve">Zeilen: relative Verschiebung aller Erträge (inkl. Saal und Parking). Spalten: Verschiebung aller Nettokapitalisierungssätze.</t>
  </si>
  <si>
    <t xml:space="preserve">Mietniveau ↓ / Kap.satz →</t>
  </si>
  <si>
    <t xml:space="preserve">TREIBERANALYSE — WIRKUNG EINZELNER ANNAHMEN AUF DEN ERTRAGSWERT</t>
  </si>
  <si>
    <t xml:space="preserve">Treiber</t>
  </si>
  <si>
    <t xml:space="preserve">ungünstig</t>
  </si>
  <si>
    <t xml:space="preserve">günstig</t>
  </si>
  <si>
    <t xml:space="preserve">Ertragswert ungünstig</t>
  </si>
  <si>
    <t xml:space="preserve">Ertragswert günstig</t>
  </si>
  <si>
    <t xml:space="preserve">Δ ungünstig CHF</t>
  </si>
  <si>
    <t xml:space="preserve">Δ günstig CHF</t>
  </si>
  <si>
    <t xml:space="preserve">Spannweite CHF</t>
  </si>
  <si>
    <t xml:space="preserve">Mietniveau Wohnen</t>
  </si>
  <si>
    <t xml:space="preserve">−10 %</t>
  </si>
  <si>
    <t xml:space="preserve">+10 %</t>
  </si>
  <si>
    <t xml:space="preserve">Kapitalisierungssatz Wohnen</t>
  </si>
  <si>
    <t xml:space="preserve">+25 bp</t>
  </si>
  <si>
    <t xml:space="preserve">−25 bp</t>
  </si>
  <si>
    <t xml:space="preserve">Mietzinsausfall Wohnen</t>
  </si>
  <si>
    <t xml:space="preserve">6.0 %</t>
  </si>
  <si>
    <t xml:space="preserve">0.5 %</t>
  </si>
  <si>
    <t xml:space="preserve">Mietniveau Residenz (inkl. Concierge ACE)</t>
  </si>
  <si>
    <t xml:space="preserve">Mietniveau Wotel</t>
  </si>
  <si>
    <t xml:space="preserve">−20 %</t>
  </si>
  <si>
    <t xml:space="preserve">+20 %</t>
  </si>
  <si>
    <t xml:space="preserve">Mietniveau Büro</t>
  </si>
  <si>
    <t xml:space="preserve">Mietniveau Gewerbe</t>
  </si>
  <si>
    <t xml:space="preserve">Kapitalisierungssatz Geschäft (Wotel, Büro, Gewerbe)</t>
  </si>
  <si>
    <t xml:space="preserve">+50 bp</t>
  </si>
  <si>
    <t xml:space="preserve">−50 bp</t>
  </si>
  <si>
    <t xml:space="preserve">Bewirtschaftung Wohnen und Residenz</t>
  </si>
  <si>
    <t xml:space="preserve">+3 %-Pkt.</t>
  </si>
  <si>
    <t xml:space="preserve">−3 %-Pkt.</t>
  </si>
  <si>
    <t xml:space="preserve">Parkingerträge (Schlüssel)</t>
  </si>
  <si>
    <t xml:space="preserve">−25 %</t>
  </si>
  <si>
    <t xml:space="preserve">+25 %</t>
  </si>
  <si>
    <t xml:space="preserve">Eventsaal-Ertrag Concierge ACE</t>
  </si>
  <si>
    <t xml:space="preserve">−30 %</t>
  </si>
  <si>
    <t xml:space="preserve">Öffentliches Parking Concierge ACE</t>
  </si>
  <si>
    <t xml:space="preserve">Kapitalisierungssatz Saal + öff. Parking</t>
  </si>
  <si>
    <t xml:space="preserve">+100 bp</t>
  </si>
  <si>
    <t xml:space="preserve">Residualwert und Anlagevolumen — bisher vs. neu mit Concierge ACE</t>
  </si>
  <si>
    <t xml:space="preserve">Mio CHF · Residualwert (= Verkaufswert aktuell) = AK möglich − EK notwendig − (Masterplan + NK + VK + Zins) · EK neu: UG CHF 500/m³, oberirdisch bisheriger Kennwert</t>
  </si>
  <si>
    <t xml:space="preserve">A  BISHER — Verkaufswert (TCO) gemäss Budgetplanung, ohne Concierge</t>
  </si>
  <si>
    <t xml:space="preserve">Projekt</t>
  </si>
  <si>
    <t xml:space="preserve">Volumen m³</t>
  </si>
  <si>
    <t xml:space="preserve">Residualwert</t>
  </si>
  <si>
    <t xml:space="preserve">Villette I</t>
  </si>
  <si>
    <t xml:space="preserve">Campus</t>
  </si>
  <si>
    <t xml:space="preserve">Total</t>
  </si>
  <si>
    <t xml:space="preserve">Quelle: Wasserschlosspark_Verkaufswert_Budgetplanung.xlsx (Urbanstreet AG). Masterplan + NK + VK + Zins 7 Mio vollständig Baufeld C zugeordnet.</t>
  </si>
  <si>
    <t xml:space="preserve">B  NEU — mit Concierge ACE, EK nach Volumenansätzen, AK Concierge = Ertragswert Renditebewertung</t>
  </si>
  <si>
    <t xml:space="preserve">Kennwert oi
CHF/m³</t>
  </si>
  <si>
    <t xml:space="preserve">UG
CHF/m³</t>
  </si>
  <si>
    <t xml:space="preserve">EK notwendig
neu</t>
  </si>
  <si>
    <t xml:space="preserve">Ertragswert
Rendite</t>
  </si>
  <si>
    <t xml:space="preserve">DCF-Wert
Rendite</t>
  </si>
  <si>
    <t xml:space="preserve">Masterplan + NK
+ VK + Zins</t>
  </si>
  <si>
    <t xml:space="preserve">Residualwert
(AK-Basis)</t>
  </si>
  <si>
    <t xml:space="preserve">Residualwert
(Ertragswert-Basis)</t>
  </si>
  <si>
    <t xml:space="preserve">Villette I inkl. TG</t>
  </si>
  <si>
    <t xml:space="preserve">Spitex Umbau (Phase B)</t>
  </si>
  <si>
    <t xml:space="preserve">Concierge ACE (neu, Phase B)</t>
  </si>
  <si>
    <t xml:space="preserve">AK möglich Baufelder A–D unverändert aus der Budgetplanung. Concierge ACE: AK = stabilisierter Ertragswert aus der Renditebewertung (Blatt 13, inkl. Saal und öffentlichem Parking).</t>
  </si>
  <si>
    <t xml:space="preserve">Zum Abgleich: die bisherigen AK entsprechen bei A, B und D fast genau den Ertragswerten der Renditebewertung; Villette II (77 Mio) liegt über dem Ertragswert (Verkaufsannahme StWE).</t>
  </si>
  <si>
    <t xml:space="preserve">C  VERÄNDERUNG BISHER → NEU</t>
  </si>
  <si>
    <t xml:space="preserve">Bisher</t>
  </si>
  <si>
    <t xml:space="preserve">Neu</t>
  </si>
  <si>
    <t xml:space="preserve">Differenz</t>
  </si>
  <si>
    <t xml:space="preserve">Differenz %</t>
  </si>
  <si>
    <t xml:space="preserve">AK möglich / Anlagevolumen (Mio CHF)</t>
  </si>
  <si>
    <t xml:space="preserve">EK notwendig (Mio CHF)</t>
  </si>
  <si>
    <t xml:space="preserve">Masterplan + NK + VK + Zins (Mio CHF)</t>
  </si>
  <si>
    <t xml:space="preserve">Residualwert (Mio CHF)</t>
  </si>
  <si>
    <t xml:space="preserve">D  ANLAGEVOLUMEN UND RENDITE (Gesamtareal, aktives Szenario)</t>
  </si>
  <si>
    <t xml:space="preserve">Anlagevolumen AK möglich (A–D bisher + Concierge ACE)</t>
  </si>
  <si>
    <t xml:space="preserve">Summe AK möglich, Abschnitt B</t>
  </si>
  <si>
    <t xml:space="preserve">Ertragswert stabilisiert (Renditebewertung)</t>
  </si>
  <si>
    <t xml:space="preserve">alle Teilgebiete im Bestand</t>
  </si>
  <si>
    <t xml:space="preserve">Volumenansätze, Blatt 08</t>
  </si>
  <si>
    <t xml:space="preserve">Wert Land/Projektrecht heute</t>
  </si>
  <si>
    <t xml:space="preserve">falls alle Baufelder im Bestand gehalten werden</t>
  </si>
  <si>
    <t xml:space="preserve">Sollertrag pro Jahr</t>
  </si>
  <si>
    <t xml:space="preserve">Bruttorendite auf Anlagevolumen (AK)</t>
  </si>
  <si>
    <t xml:space="preserve">Sollertrag ÷ AK möglich</t>
  </si>
  <si>
    <t xml:space="preserve">Nettorendite auf EK + Residualwert</t>
  </si>
  <si>
    <t xml:space="preserve">Nettoertrag ÷ (EK + Landwert)</t>
  </si>
  <si>
    <t xml:space="preserve">E  PLANUNGSBUDGET (+24 MONATE) NACH PHASE — Rahmen CHF 10 Mio</t>
  </si>
  <si>
    <t xml:space="preserve">Bisher Mio CHF</t>
  </si>
  <si>
    <t xml:space="preserve">Aktuell Mio CHF</t>
  </si>
  <si>
    <t xml:space="preserve">GP + FPL</t>
  </si>
  <si>
    <t xml:space="preserve">Concierge ACE + Spitex Umbau inkl. öff. TG</t>
  </si>
  <si>
    <t xml:space="preserve">GP + FPL; Bauablauf: Baufeld B = Spitex Umbau / Concierge</t>
  </si>
  <si>
    <t xml:space="preserve">Campus Small + Medium</t>
  </si>
  <si>
    <t xml:space="preserve">GP + TU-Offerte</t>
  </si>
  <si>
    <t xml:space="preserve">Annahme ohne Gestaltungsplan (Zonenänderung)</t>
  </si>
  <si>
    <t xml:space="preserve">Zwischentotal</t>
  </si>
  <si>
    <t xml:space="preserve">Nebenkosten (NK)</t>
  </si>
  <si>
    <t xml:space="preserve">Annahme</t>
  </si>
  <si>
    <t xml:space="preserve">Total Budget</t>
  </si>
  <si>
    <t xml:space="preserve">F  ÜBERLEITUNG RESIDUALWERT BISHER → NEU</t>
  </si>
  <si>
    <t xml:space="preserve">Residualwert bisher (Budgetplanung)</t>
  </si>
  <si>
    <t xml:space="preserve">ohne Concierge</t>
  </si>
  <si>
    <t xml:space="preserve">EK-Minderung Baufelder A–D</t>
  </si>
  <si>
    <t xml:space="preserve">UG CHF 500/m³ und aktuelle Volumen (v. a. Villette II 60'000 → 52'533 m³)</t>
  </si>
  <si>
    <t xml:space="preserve">Veränderung AK Baufelder A–D</t>
  </si>
  <si>
    <t xml:space="preserve">unverändert</t>
  </si>
  <si>
    <t xml:space="preserve">Veränderung Masterplan + NK + VK + Zins</t>
  </si>
  <si>
    <t xml:space="preserve">Beitrag Concierge ACE</t>
  </si>
  <si>
    <t xml:space="preserve">Ertragswert Concierge − EK Concierge</t>
  </si>
  <si>
    <t xml:space="preserve">Residualwert neu</t>
  </si>
  <si>
    <t xml:space="preserve">Kontrolle: = Abschnitt B, Total</t>
  </si>
  <si>
    <t xml:space="preserve">Differenz zur Abschnitt-B-Summe (muss 0 sein)</t>
  </si>
  <si>
    <t xml:space="preserve">G  ZUSAMMENFASSUNG NACH PHASE</t>
  </si>
  <si>
    <t xml:space="preserve">MP + NK
+ VK + Zins</t>
  </si>
  <si>
    <t xml:space="preserve">Ertragswert</t>
  </si>
  <si>
    <t xml:space="preserve">Residualwert
(EW-Basis)</t>
  </si>
  <si>
    <t xml:space="preserve">DCF-Wert</t>
  </si>
  <si>
    <t xml:space="preserve">Planungs-
budget</t>
  </si>
  <si>
    <t xml:space="preserve">Total Areal</t>
  </si>
  <si>
    <t xml:space="preserve">Planungsbudget ohne Nebenkosten (CHF 1.5 Mio, arealweit). Budget % EK = Planungsbudget der Phase im Verhältnis zu den Erstellungskosten der Phase.</t>
  </si>
  <si>
    <t xml:space="preserve">Vergleich Renditebewertung bisher (23.08.2026) → neu mit Concierge ACE</t>
  </si>
  <si>
    <t xml:space="preserve">Bisher: Wasserschlosspark_Renditebewertung_Urbanstreet.xlsx, Szenario Basis · Neu: dieses Modell, aktives Szenario</t>
  </si>
  <si>
    <t xml:space="preserve">Hauptnutzfläche HNF m²</t>
  </si>
  <si>
    <t xml:space="preserve">Concierge 2'467 → 4'121 m²</t>
  </si>
  <si>
    <t xml:space="preserve">Sollmietertrag CHF/Jahr</t>
  </si>
  <si>
    <t xml:space="preserve">Ertragswert stabilisiert CHF</t>
  </si>
  <si>
    <t xml:space="preserve">DCF-Marktwert inkl. Erstvermietung CHF</t>
  </si>
  <si>
    <t xml:space="preserve">Ertragswert je m² HNF CHF</t>
  </si>
  <si>
    <t xml:space="preserve">Concierge – HNF m²</t>
  </si>
  <si>
    <t xml:space="preserve">25 Whg. + Gewerbe → Saal, Gewerbe, 19 Studios, 16 Residenzen</t>
  </si>
  <si>
    <t xml:space="preserve">Concierge – Sollertrag CHF/Jahr</t>
  </si>
  <si>
    <t xml:space="preserve">inkl. Saal und öffentlichem Parking</t>
  </si>
  <si>
    <t xml:space="preserve">Concierge – Ertragswert CHF</t>
  </si>
  <si>
    <t xml:space="preserve">bisher Residenz 14.71 + Gewerbe 1.61 + Parking 1.13 Mio</t>
  </si>
  <si>
    <t xml:space="preserve">Verkaufs-/Residualwert (Mio CHF)</t>
  </si>
  <si>
    <t xml:space="preserve">Budgetplanung → Blatt 16</t>
  </si>
  <si>
    <t xml:space="preserve">UG neu CHF 500/m³</t>
  </si>
  <si>
    <t xml:space="preserve">Bisher-Werte als Festwerte (blau) aus der Datei vom 23.08.2026. Die Neuberechnung reproduziert diese Werte exakt, wenn das bisherige Concierge eingesetzt wird (Validierung 28.09.2026).</t>
  </si>
  <si>
    <t xml:space="preserve">Prüfprotokoll — Datenqualität, Annahmen und offene Punkte</t>
  </si>
  <si>
    <t xml:space="preserve">Stand 28.09.2026</t>
  </si>
  <si>
    <t xml:space="preserve">Thema</t>
  </si>
  <si>
    <t xml:space="preserve">Befund</t>
  </si>
  <si>
    <t xml:space="preserve">Auswirkung</t>
  </si>
  <si>
    <t xml:space="preserve">Behandlung</t>
  </si>
  <si>
    <t xml:space="preserve">Status</t>
  </si>
  <si>
    <t xml:space="preserve">Massgebende Quelle</t>
  </si>
  <si>
    <t xml:space="preserve">Bereinigte Übersichtstabelle Kennwerte WSP (28.09.2026): «nach Masterplan ACE» und «Flächenspiegel nach Teilprojekt».</t>
  </si>
  <si>
    <t xml:space="preserve">Eindeutige Basis.</t>
  </si>
  <si>
    <t xml:space="preserve">Vollständig übernommen.</t>
  </si>
  <si>
    <t xml:space="preserve">bestätigt</t>
  </si>
  <si>
    <t xml:space="preserve">Summenfehler Flächenspiegel (Quelle)</t>
  </si>
  <si>
    <t xml:space="preserve">Übersicht Büro summiert nur Campus; 1'261 m² Concierge fehlten im Total (20'967 statt 22'228 m²).</t>
  </si>
  <si>
    <t xml:space="preserve">Total HNF zu tief.</t>
  </si>
  <si>
    <t xml:space="preserve">Summen neu mit SUMIFS gebildet.</t>
  </si>
  <si>
    <t xml:space="preserve">korrigiert</t>
  </si>
  <si>
    <t xml:space="preserve">OG1/OG2 Concierge ACE</t>
  </si>
  <si>
    <t xml:space="preserve">1'006.87 + 254 m² ohne Typ; in der Quelle teils als Büro summiert.</t>
  </si>
  <si>
    <t xml:space="preserve">Nutzung und Miete.</t>
  </si>
  <si>
    <t xml:space="preserve">Vorgabe Zin: Residenzen. Einheiten mit Ø 77.5 m² angenommen (13 + 3).</t>
  </si>
  <si>
    <t xml:space="preserve">bestätigt / Annahme Einheiten</t>
  </si>
  <si>
    <t xml:space="preserve">Eventsaal</t>
  </si>
  <si>
    <t xml:space="preserve">UG-Gewerbefläche 1'013.66 m² HNF, abgesenkt, doppelgeschossig (≈ 4.5 m).</t>
  </si>
  <si>
    <t xml:space="preserve">Neue Nutzungsklasse «Saal» mit Betriebsmodell.</t>
  </si>
  <si>
    <t xml:space="preserve">120 Anlässe × 3'500 + 80 Tagungen × 2'000; Betrieb 35 %, Ausfall 10 %, Kap.satz 6.6 %.</t>
  </si>
  <si>
    <t xml:space="preserve">Annahme – bitte prüfen</t>
  </si>
  <si>
    <t xml:space="preserve">Öffentliche TG Concierge ACE</t>
  </si>
  <si>
    <t xml:space="preserve">101 PP: 90 ABB-Tageskarten à CHF 12, 120 Anlässe × 100 PP à CHF 10, Kurzparkieren CHF 2.50/h.</t>
  </si>
  <si>
    <t xml:space="preserve">Parkingertrag stark erhöht gegenüber Schlüssel.</t>
  </si>
  <si>
    <t xml:space="preserve">Szenario «ambitioniert» (Vorgabe Zin); Bewirtschaftung 18 %, Kap.satz 5.0 %.</t>
  </si>
  <si>
    <t xml:space="preserve">bestätigt – Vertrag ABB offen</t>
  </si>
  <si>
    <t xml:space="preserve">Abhängigkeit ABB</t>
  </si>
  <si>
    <t xml:space="preserve">Rund 60 % des TG-Ertrags hängen an Tageskarten für ABB-Mitarbeitende.</t>
  </si>
  <si>
    <t xml:space="preserve">Klumpenrisiko.</t>
  </si>
  <si>
    <t xml:space="preserve">Sensitivität −30 % in Blatt 15; Rahmenvertrag mit ABB empfohlen.</t>
  </si>
  <si>
    <t xml:space="preserve">Saal im Volumen</t>
  </si>
  <si>
    <t xml:space="preserve">Saalvolumen (5'103 m³) ist im Masterplan im GV oberirdisch geführt.</t>
  </si>
  <si>
    <t xml:space="preserve">EK: Saal mit CHF 700/m³ statt 500.</t>
  </si>
  <si>
    <t xml:space="preserve">Wie Masterplan belassen (konservativ). Als UG gerechnet: EK −1.0 Mio.</t>
  </si>
  <si>
    <t xml:space="preserve">Info</t>
  </si>
  <si>
    <t xml:space="preserve">EK-Kennwerte oberirdisch</t>
  </si>
  <si>
    <t xml:space="preserve">Bisherige Kennwerte galten für das Gesamtvolumen (Villette I 700, Spitex 600, Villette II 833 CHF/m³). Campus ohne Volumen bisher.</t>
  </si>
  <si>
    <t xml:space="preserve">EK sinkt mit UG 500.</t>
  </si>
  <si>
    <t xml:space="preserve">Kennwert bisher nur noch oberirdisch; Campus-Kennwert aus 28 Mio ÷ GV aktuell.</t>
  </si>
  <si>
    <t xml:space="preserve">Volumen bisher vs. aktuell</t>
  </si>
  <si>
    <t xml:space="preserve">Villette II 60'000 → 52'533 m³, Spitex 5'000 → 4'294 m³. Zusammen mit UG CHF 500/m³ sinkt die EK A–D deutlich (Überleitung Blatt 16, Abschnitt F).</t>
  </si>
  <si>
    <t xml:space="preserve">Grösster Treiber des höheren Residualwerts.</t>
  </si>
  <si>
    <t xml:space="preserve">Aktuelle GV aus Masterplan ACE verwendet.</t>
  </si>
  <si>
    <t xml:space="preserve">bitte prüfen</t>
  </si>
  <si>
    <t xml:space="preserve">Phasen</t>
  </si>
  <si>
    <t xml:space="preserve">Neu gegliedert (Vorgabe Zin 28.09.2026): A Villette I inkl. TG Villette · B Concierge ACE + Spitex Umbau inkl. öffentliche TG · D Campus Small + Medium · C Villette II.</t>
  </si>
  <si>
    <t xml:space="preserve">Etappen der Renditebewertung und Budget nach Phasen.</t>
  </si>
  <si>
    <t xml:space="preserve">Alle Blätter umgestellt; je Phase ein eigenes Register (03–06).</t>
  </si>
  <si>
    <t xml:space="preserve">AK Concierge</t>
  </si>
  <si>
    <t xml:space="preserve">Kein AK-Wert in den Quellen.</t>
  </si>
  <si>
    <t xml:space="preserve">Anlagevolumen.</t>
  </si>
  <si>
    <t xml:space="preserve">AK = stabilisierter Ertragswert Renditebewertung (wie bei A, B, D faktisch).</t>
  </si>
  <si>
    <t xml:space="preserve">Methode – bitte bestätigen</t>
  </si>
  <si>
    <t xml:space="preserve">Planungsbudget Phase B</t>
  </si>
  <si>
    <t xml:space="preserve">CHF 2.5 Mio decken neu Spitex Umbau und Concierge ACE inkl. öffentliche TG (Bauablauf: Baufeld B = Spitex Umbau / Concierge). Rahmen CHF 10 Mio bleibt.</t>
  </si>
  <si>
    <t xml:space="preserve">Budget im Verhältnis zur EK deutlich tiefer als Phase A.</t>
  </si>
  <si>
    <t xml:space="preserve">Budget % EK je Phase ausgewiesen (Blatt 07, Blatt 16 G).</t>
  </si>
  <si>
    <t xml:space="preserve">Mittelverwendung Planung</t>
  </si>
  <si>
    <t xml:space="preserve">Quartalsprofile je Phase (Q4 2026 – Q3 2028) sind Annahmen, ausgerichtet auf Zonenänderung, Baueingabe und Baustart gemäss Bauablauf 17.09.2026.</t>
  </si>
  <si>
    <t xml:space="preserve">Liquiditätsplanung Planungsphase.</t>
  </si>
  <si>
    <t xml:space="preserve">Gelbe Eingaben Blatt 07.</t>
  </si>
  <si>
    <t xml:space="preserve">Parkingschlüssel übrige Teilgebiete</t>
  </si>
  <si>
    <t xml:space="preserve">Ertragsmodell rechnet Parking aus Schlüssel (z. B. Villette 33.6 PP), Masterplan hat reale PP (Villette 61).</t>
  </si>
  <si>
    <t xml:space="preserve">Parkingertrag eher konservativ.</t>
  </si>
  <si>
    <t xml:space="preserve">Methodik der Renditebewertung beibehalten.</t>
  </si>
  <si>
    <t xml:space="preserve">Validierung</t>
  </si>
  <si>
    <t xml:space="preserve">Neuaufbau mit bisherigem Concierge ergibt exakt Ertragswert CHF 150'171'121 und DCF CHF 142'721'664.</t>
  </si>
  <si>
    <t xml:space="preserve">Rechenlogik identisch.</t>
  </si>
  <si>
    <t xml:space="preserve">geprüft</t>
  </si>
  <si>
    <t xml:space="preserve">Glossar und Quellen</t>
  </si>
  <si>
    <t xml:space="preserve">Begriff</t>
  </si>
  <si>
    <t xml:space="preserve">Erläuterung</t>
  </si>
  <si>
    <t xml:space="preserve">HNF SIA 416</t>
  </si>
  <si>
    <t xml:space="preserve">Hauptnutzfläche nach SIA 416. Alle Flächen und Mietansätze dieses Modells beziehen sich auf die HNF. FPRE weist Wohnungsmieten auf der grösseren Wohnflächenbasis aus; die Umrechnung erfolgt mit dem Faktor 1.10.</t>
  </si>
  <si>
    <t xml:space="preserve">Sollmietertrag</t>
  </si>
  <si>
    <t xml:space="preserve">Marktmiete aller Flächen bei Vollvermietung, netto ohne Nebenkosten, inklusive Parkingerträge.</t>
  </si>
  <si>
    <t xml:space="preserve">Struktureller Leerstand und Mietausfall im eingeschwungenen Zustand, in Prozent des Sollertrags.</t>
  </si>
  <si>
    <t xml:space="preserve">Bewirtschaftungskosten</t>
  </si>
  <si>
    <t xml:space="preserve">Nicht auf die Mieter überwälzbare Kosten: Verwaltung, Instandhaltung, Rückstellung für Instandsetzung, Versicherungen und Abgaben. In Prozent des Sollertrags.</t>
  </si>
  <si>
    <t xml:space="preserve">Nettoertrag / NOI</t>
  </si>
  <si>
    <t xml:space="preserve">Sollertrag abzüglich Mietzinsausfall und Bewirtschaftungskosten. Vor Zins, Steuern und Abschreibung.</t>
  </si>
  <si>
    <t xml:space="preserve">Nettokapitalisierungssatz</t>
  </si>
  <si>
    <t xml:space="preserve">Satz, mit dem der Nettoertrag zum Ertragswert kapitalisiert wird. Hier: FPRE-Diskontierungssatz (netto, real) für Untersiggenthal plus objektspezifischer Risikozuschlag.</t>
  </si>
  <si>
    <t xml:space="preserve">Nettoertrag ÷ Nettokapitalisierungssatz. Wert im stabilisierten, voll vermieteten Zustand.</t>
  </si>
  <si>
    <t xml:space="preserve">Barwert der Nettoerträge der ersten zehn Jahre plus Barwert des Restwerts. Berücksichtigt die Erstvermietungsphase und einen Exit-Zuschlag auf den Kapitalisierungssatz.</t>
  </si>
  <si>
    <t xml:space="preserve">Sollmietertrag ÷ Wert. Im Ertragswertverfahren ein Ergebnis, keine Eingabe.</t>
  </si>
  <si>
    <t xml:space="preserve">Grössendegression</t>
  </si>
  <si>
    <t xml:space="preserve">Empirischer Befund, dass die Miete je Quadratmeter mit zunehmender Wohnungsgrösse sinkt. Der Exponent 0.31 ist aus der FPRE-Zimmergrössenreihe für Untersiggenthal geschätzt.</t>
  </si>
  <si>
    <t xml:space="preserve">Working Hotel — möblierte Serviced Apartments für Wochenaufenthalter und Projektmitarbeitende. Bewertet als Mietertrag an den Eigentümer im Betreibermodell, mit erhöhtem Leerstands- und Bewirtschaftungsansatz.</t>
  </si>
  <si>
    <t xml:space="preserve">Quantil / Quartil</t>
  </si>
  <si>
    <t xml:space="preserve">Lagemass innerhalb der Marktverteilung. Das 3. Quartil trennt die teuersten 25 Prozent der beobachteten Objekte vom Rest.</t>
  </si>
  <si>
    <t xml:space="preserve">Angebots- vs. Transaktionsdaten</t>
  </si>
  <si>
    <t xml:space="preserve">Angebotsdaten sind inserierte Mietzinse und liegen systematisch über den tatsächlich abgeschlossenen Transaktionen. Eine Positionierung oberhalb der Transaktionsverteilung ist möglich, aber begründungspflichtig.</t>
  </si>
  <si>
    <t xml:space="preserve">Makro-Lagerating FPRE</t>
  </si>
  <si>
    <t xml:space="preserve">Skala von 1 bis 5. Untersiggenthal: Wohnen 3.51 aktuell und 4.09 prospektiv, Büro 3.32 / 3.40, Spitzenindustrie 2.97 / 3.05.</t>
  </si>
  <si>
    <t xml:space="preserve">QUELLEN</t>
  </si>
  <si>
    <t xml:space="preserve">1.</t>
  </si>
  <si>
    <t xml:space="preserve">Fahrländer Partner AG, Zürich: Gemeindecheck Wohnen, Gemeinde Untersiggenthal, 3. Quartal 2026 (CH-19-000548_GemC_W_DE).</t>
  </si>
  <si>
    <t xml:space="preserve">2.</t>
  </si>
  <si>
    <t xml:space="preserve">Fahrländer Partner AG, Zürich: Gemeindecheck Geschäft, Gemeinde Untersiggenthal, 3. Quartal 2026 (CH-19-000548_GemC_G_DE).</t>
  </si>
  <si>
    <t xml:space="preserve">3.</t>
  </si>
  <si>
    <t xml:space="preserve">Fahrländer Partner AG, Zürich: Makro-Lagerating Wohnen (MWG), Büro sowie Gewerbe/Industrie, Gemeinde Untersiggenthal, 3. Quartal 2026.</t>
  </si>
  <si>
    <t xml:space="preserve">4.</t>
  </si>
  <si>
    <t xml:space="preserve">Urbanstreet AG: Flächenspiegel Wasserschlosspark, «202_WSP_Berechnung_Uebersicht.xlsx», Stand 21.08.2026.</t>
  </si>
  <si>
    <t xml:space="preserve">5.</t>
  </si>
  <si>
    <t xml:space="preserve">Hedonische Modelle IMBAS und RESC von Fahrländer Partner, Datenstand Transaktionen 30. Juni 2026. Alle Rechte an den Marktdaten liegen bei Fahrländer Partner AG, Zürich.</t>
  </si>
  <si>
    <t xml:space="preserve">Wert des Landes bzw. des Projektrechts: AK möglich (Anlagewert) − Erstellungskosten − Masterplan, Neben-, Vertriebskosten und Zins. Entspricht dem «Verkaufswert aktuell» der Budgetplanung.</t>
  </si>
  <si>
    <t xml:space="preserve">Anlagevolumen</t>
  </si>
  <si>
    <t xml:space="preserve">Summe der möglichen Anlagekosten (AK) — der Betrag, den ein Investor für das fertig erstellte Areal bezahlen kann; hier AK A–D gemäss Budgetplanung plus Ertragswert Concierge ACE.</t>
  </si>
  <si>
    <t xml:space="preserve">Abgesenkter, doppelgeschossiger Saal im UG des Concierge ACE; bewertet im Betreibermodell (Tagesmieten Anlässe und Tagungen, abzüglich Betrieb).</t>
  </si>
  <si>
    <t xml:space="preserve">Parkpay</t>
  </si>
  <si>
    <t xml:space="preserve">App-basierte Parkplatzbewirtschaftung (Tages-, Stunden- und Eventtarife); Kommission und Kontrolle in der Bewirtschaftung von 18 % enthalten.</t>
  </si>
  <si>
    <t xml:space="preserve">Quelle 6.</t>
  </si>
  <si>
    <t xml:space="preserve">Urbanstreet AG: 202_Übersichtstabelle_Kennwerte_WSP, bereinigte Fassung 28.09.2026 (Masterplan ACE, Flächenspiegel).</t>
  </si>
  <si>
    <t xml:space="preserve">Quelle 8.</t>
  </si>
  <si>
    <t xml:space="preserve">Urbanstreet AG: Bauablauf Wasserschlosspark, Baufelder A–D, Stand 17.09.2026 (Grundlage handschriftliche Terminplanung 24.08.2026).</t>
  </si>
  <si>
    <t xml:space="preserve">Quelle 7.</t>
  </si>
  <si>
    <t xml:space="preserve">Urbanstreet AG: Wasserschlosspark_Verkaufswert_Budgetplanung.xlsx (Budgetplanung + 24 Monate, Verkaufswert TCO).</t>
  </si>
</sst>
</file>

<file path=xl/styles.xml><?xml version="1.0" encoding="utf-8"?>
<styleSheet xmlns="http://schemas.openxmlformats.org/spreadsheetml/2006/main">
  <numFmts count="12">
    <numFmt numFmtId="164" formatCode="General"/>
    <numFmt numFmtId="165" formatCode="#,##0;\(#,##0\);\–"/>
    <numFmt numFmtId="166" formatCode="0.00%;\(0.00%\);\–"/>
    <numFmt numFmtId="167" formatCode="0.0;\(0.0\);\–"/>
    <numFmt numFmtId="168" formatCode="0.0%;\(0.0%\);\–"/>
    <numFmt numFmtId="169" formatCode="#,##0.00;\(#,##0.00\);\–"/>
    <numFmt numFmtId="170" formatCode="0.00;\(0.00\);\–"/>
    <numFmt numFmtId="171" formatCode="#,##0.0;\(#,##0.0\);\–"/>
    <numFmt numFmtId="172" formatCode="0"/>
    <numFmt numFmtId="173" formatCode="0.000"/>
    <numFmt numFmtId="174" formatCode="\+0.00%;\-0.00%;0.00%"/>
    <numFmt numFmtId="175" formatCode="\+0%;\-0%;0%"/>
  </numFmts>
  <fonts count="19">
    <font>
      <sz val="11"/>
      <color theme="1"/>
      <name val="Calibri"/>
      <family val="2"/>
      <charset val="1"/>
    </font>
    <font>
      <sz val="10"/>
      <name val="Arial"/>
      <family val="0"/>
    </font>
    <font>
      <sz val="10"/>
      <name val="Arial"/>
      <family val="0"/>
    </font>
    <font>
      <sz val="10"/>
      <name val="Arial"/>
      <family val="0"/>
    </font>
    <font>
      <b val="true"/>
      <sz val="11"/>
      <color rgb="FF5D603E"/>
      <name val="Arial"/>
      <family val="0"/>
      <charset val="1"/>
    </font>
    <font>
      <sz val="22"/>
      <color rgb="FF1F261A"/>
      <name val="Georgia"/>
      <family val="0"/>
      <charset val="1"/>
    </font>
    <font>
      <sz val="12"/>
      <color rgb="FF68705F"/>
      <name val="Arial"/>
      <family val="0"/>
      <charset val="1"/>
    </font>
    <font>
      <i val="true"/>
      <sz val="9"/>
      <color rgb="FF68705F"/>
      <name val="Arial"/>
      <family val="0"/>
      <charset val="1"/>
    </font>
    <font>
      <b val="true"/>
      <sz val="10"/>
      <color rgb="FF5D603E"/>
      <name val="Arial"/>
      <family val="0"/>
      <charset val="1"/>
    </font>
    <font>
      <b val="true"/>
      <sz val="9"/>
      <color rgb="FFFFFFFF"/>
      <name val="Arial"/>
      <family val="0"/>
      <charset val="1"/>
    </font>
    <font>
      <sz val="10"/>
      <color rgb="FF1F261A"/>
      <name val="Arial"/>
      <family val="0"/>
      <charset val="1"/>
    </font>
    <font>
      <sz val="10"/>
      <color rgb="FF008000"/>
      <name val="Arial"/>
      <family val="0"/>
      <charset val="1"/>
    </font>
    <font>
      <i val="true"/>
      <sz val="10"/>
      <color rgb="FF1F261A"/>
      <name val="Arial"/>
      <family val="0"/>
      <charset val="1"/>
    </font>
    <font>
      <b val="true"/>
      <sz val="10"/>
      <color rgb="FF1F261A"/>
      <name val="Arial"/>
      <family val="0"/>
      <charset val="1"/>
    </font>
    <font>
      <b val="true"/>
      <sz val="10"/>
      <color rgb="FF008000"/>
      <name val="Arial"/>
      <family val="0"/>
      <charset val="1"/>
    </font>
    <font>
      <b val="true"/>
      <sz val="16"/>
      <color rgb="FF1F261A"/>
      <name val="Arial"/>
      <family val="0"/>
      <charset val="1"/>
    </font>
    <font>
      <sz val="10"/>
      <color rgb="FF0000FF"/>
      <name val="Arial"/>
      <family val="0"/>
      <charset val="1"/>
    </font>
    <font>
      <sz val="10"/>
      <name val="Arial"/>
      <family val="2"/>
    </font>
    <font>
      <b val="true"/>
      <sz val="10"/>
      <color rgb="FF8A5A33"/>
      <name val="Arial"/>
      <family val="0"/>
      <charset val="1"/>
    </font>
  </fonts>
  <fills count="7">
    <fill>
      <patternFill patternType="none"/>
    </fill>
    <fill>
      <patternFill patternType="gray125"/>
    </fill>
    <fill>
      <patternFill patternType="solid">
        <fgColor rgb="FF2E3234"/>
        <bgColor rgb="FF1F261A"/>
      </patternFill>
    </fill>
    <fill>
      <patternFill patternType="solid">
        <fgColor rgb="FFF8EFD4"/>
        <bgColor rgb="FFFFF4D6"/>
      </patternFill>
    </fill>
    <fill>
      <patternFill patternType="solid">
        <fgColor rgb="FFEDF3DA"/>
        <bgColor rgb="FFF8EFD4"/>
      </patternFill>
    </fill>
    <fill>
      <patternFill patternType="solid">
        <fgColor rgb="FFFFF4D6"/>
        <bgColor rgb="FFF8EFD4"/>
      </patternFill>
    </fill>
    <fill>
      <patternFill patternType="solid">
        <fgColor rgb="FFFFFF00"/>
        <bgColor rgb="FFFFFF00"/>
      </patternFill>
    </fill>
  </fills>
  <borders count="3">
    <border diagonalUp="false" diagonalDown="false">
      <left/>
      <right/>
      <top/>
      <bottom/>
      <diagonal/>
    </border>
    <border diagonalUp="false" diagonalDown="false">
      <left/>
      <right/>
      <top/>
      <bottom style="thin">
        <color rgb="FFDDE3C9"/>
      </bottom>
      <diagonal/>
    </border>
    <border diagonalUp="false" diagonalDown="false">
      <left/>
      <right/>
      <top style="thin">
        <color rgb="FFC6CFAA"/>
      </top>
      <bottom style="thin">
        <color rgb="FFC6CFAA"/>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1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2" borderId="0" xfId="0" applyFont="true" applyBorder="false" applyAlignment="true" applyProtection="false">
      <alignment horizontal="left" vertical="center" textRotation="0" wrapText="true" indent="0" shrinkToFit="false"/>
      <protection locked="true" hidden="false"/>
    </xf>
    <xf numFmtId="164" fontId="9" fillId="2" borderId="0" xfId="0" applyFont="true" applyBorder="false" applyAlignment="true" applyProtection="false">
      <alignment horizontal="right" vertical="center" textRotation="0" wrapText="true" indent="0" shrinkToFit="false"/>
      <protection locked="true" hidden="false"/>
    </xf>
    <xf numFmtId="164" fontId="10" fillId="0" borderId="1" xfId="0" applyFont="true" applyBorder="true" applyAlignment="false" applyProtection="false">
      <alignment horizontal="general" vertical="bottom" textRotation="0" wrapText="false" indent="0" shrinkToFit="false"/>
      <protection locked="true" hidden="false"/>
    </xf>
    <xf numFmtId="164" fontId="11" fillId="0" borderId="1" xfId="0" applyFont="true" applyBorder="true" applyAlignment="false" applyProtection="false">
      <alignment horizontal="general" vertical="bottom" textRotation="0" wrapText="false" indent="0" shrinkToFit="false"/>
      <protection locked="true" hidden="false"/>
    </xf>
    <xf numFmtId="164" fontId="12" fillId="0" borderId="1" xfId="0" applyFont="true" applyBorder="true" applyAlignment="false" applyProtection="false">
      <alignment horizontal="general" vertical="bottom" textRotation="0" wrapText="false" indent="0" shrinkToFit="false"/>
      <protection locked="true" hidden="false"/>
    </xf>
    <xf numFmtId="165" fontId="11" fillId="0" borderId="1" xfId="0" applyFont="true" applyBorder="true" applyAlignment="false" applyProtection="false">
      <alignment horizontal="general" vertical="bottom" textRotation="0" wrapText="false" indent="0" shrinkToFit="false"/>
      <protection locked="true" hidden="false"/>
    </xf>
    <xf numFmtId="164" fontId="13" fillId="0" borderId="1" xfId="0" applyFont="true" applyBorder="true" applyAlignment="false" applyProtection="false">
      <alignment horizontal="general" vertical="bottom" textRotation="0" wrapText="false" indent="0" shrinkToFit="false"/>
      <protection locked="true" hidden="false"/>
    </xf>
    <xf numFmtId="165" fontId="14" fillId="0" borderId="1" xfId="0" applyFont="true" applyBorder="true" applyAlignment="false" applyProtection="false">
      <alignment horizontal="general" vertical="bottom" textRotation="0" wrapText="false" indent="0" shrinkToFit="false"/>
      <protection locked="true" hidden="false"/>
    </xf>
    <xf numFmtId="166" fontId="11" fillId="0" borderId="1" xfId="0" applyFont="true" applyBorder="true" applyAlignment="false" applyProtection="false">
      <alignment horizontal="general" vertical="bottom" textRotation="0" wrapText="false" indent="0" shrinkToFit="false"/>
      <protection locked="true" hidden="false"/>
    </xf>
    <xf numFmtId="164" fontId="13" fillId="3" borderId="1" xfId="0" applyFont="true" applyBorder="true" applyAlignment="false" applyProtection="false">
      <alignment horizontal="general" vertical="bottom" textRotation="0" wrapText="false" indent="0" shrinkToFit="false"/>
      <protection locked="true" hidden="false"/>
    </xf>
    <xf numFmtId="167" fontId="14" fillId="3" borderId="1" xfId="0" applyFont="true" applyBorder="true" applyAlignment="false" applyProtection="false">
      <alignment horizontal="general" vertical="bottom" textRotation="0" wrapText="false" indent="0" shrinkToFit="false"/>
      <protection locked="true" hidden="false"/>
    </xf>
    <xf numFmtId="164" fontId="10" fillId="3" borderId="1" xfId="0" applyFont="true" applyBorder="true" applyAlignment="false" applyProtection="false">
      <alignment horizontal="general" vertical="bottom" textRotation="0" wrapText="false" indent="0" shrinkToFit="false"/>
      <protection locked="true" hidden="false"/>
    </xf>
    <xf numFmtId="164" fontId="12" fillId="3" borderId="1" xfId="0" applyFont="true" applyBorder="true" applyAlignment="false" applyProtection="false">
      <alignment horizontal="general" vertical="bottom" textRotation="0" wrapText="false" indent="0" shrinkToFit="false"/>
      <protection locked="true" hidden="false"/>
    </xf>
    <xf numFmtId="167" fontId="11" fillId="0" borderId="1" xfId="0" applyFont="true" applyBorder="true" applyAlignment="false" applyProtection="false">
      <alignment horizontal="general" vertical="bottom" textRotation="0" wrapText="false" indent="0" shrinkToFit="false"/>
      <protection locked="true" hidden="false"/>
    </xf>
    <xf numFmtId="164" fontId="13" fillId="4" borderId="2" xfId="0" applyFont="true" applyBorder="true" applyAlignment="false" applyProtection="false">
      <alignment horizontal="general" vertical="bottom" textRotation="0" wrapText="false" indent="0" shrinkToFit="false"/>
      <protection locked="true" hidden="false"/>
    </xf>
    <xf numFmtId="165" fontId="14" fillId="4" borderId="2" xfId="0" applyFont="true" applyBorder="true" applyAlignment="false" applyProtection="false">
      <alignment horizontal="general" vertical="bottom" textRotation="0" wrapText="false" indent="0" shrinkToFit="false"/>
      <protection locked="true" hidden="false"/>
    </xf>
    <xf numFmtId="166" fontId="14" fillId="4" borderId="2" xfId="0" applyFont="true" applyBorder="true" applyAlignment="false" applyProtection="false">
      <alignment horizontal="general" vertical="bottom" textRotation="0" wrapText="false" indent="0" shrinkToFit="false"/>
      <protection locked="true" hidden="false"/>
    </xf>
    <xf numFmtId="165" fontId="13" fillId="4" borderId="2" xfId="0" applyFont="true" applyBorder="tru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5" fontId="16" fillId="0" borderId="1" xfId="0" applyFont="true" applyBorder="true" applyAlignment="false" applyProtection="false">
      <alignment horizontal="general" vertical="bottom" textRotation="0" wrapText="false" indent="0" shrinkToFit="false"/>
      <protection locked="true" hidden="false"/>
    </xf>
    <xf numFmtId="165" fontId="10" fillId="0" borderId="1" xfId="0" applyFont="true" applyBorder="true" applyAlignment="false" applyProtection="false">
      <alignment horizontal="general" vertical="bottom" textRotation="0" wrapText="false" indent="0" shrinkToFit="false"/>
      <protection locked="true" hidden="false"/>
    </xf>
    <xf numFmtId="164" fontId="10" fillId="5" borderId="1" xfId="0" applyFont="true" applyBorder="true" applyAlignment="false" applyProtection="false">
      <alignment horizontal="general" vertical="bottom" textRotation="0" wrapText="false" indent="0" shrinkToFit="false"/>
      <protection locked="true" hidden="false"/>
    </xf>
    <xf numFmtId="164" fontId="13" fillId="5" borderId="1" xfId="0" applyFont="true" applyBorder="true" applyAlignment="false" applyProtection="false">
      <alignment horizontal="general" vertical="bottom" textRotation="0" wrapText="false" indent="0" shrinkToFit="false"/>
      <protection locked="true" hidden="false"/>
    </xf>
    <xf numFmtId="165" fontId="16" fillId="5" borderId="1" xfId="0" applyFont="true" applyBorder="true" applyAlignment="false" applyProtection="false">
      <alignment horizontal="general" vertical="bottom" textRotation="0" wrapText="false" indent="0" shrinkToFit="false"/>
      <protection locked="true" hidden="false"/>
    </xf>
    <xf numFmtId="165" fontId="10" fillId="5" borderId="1" xfId="0" applyFont="true" applyBorder="true" applyAlignment="false" applyProtection="false">
      <alignment horizontal="general" vertical="bottom" textRotation="0" wrapText="false" indent="0" shrinkToFit="false"/>
      <protection locked="true" hidden="false"/>
    </xf>
    <xf numFmtId="165" fontId="11" fillId="5" borderId="1" xfId="0" applyFont="true" applyBorder="true" applyAlignment="false" applyProtection="false">
      <alignment horizontal="general" vertical="bottom" textRotation="0" wrapText="false" indent="0" shrinkToFit="false"/>
      <protection locked="true" hidden="false"/>
    </xf>
    <xf numFmtId="168" fontId="10" fillId="0" borderId="1" xfId="0" applyFont="true" applyBorder="true" applyAlignment="false" applyProtection="false">
      <alignment horizontal="general" vertical="bottom" textRotation="0" wrapText="false" indent="0" shrinkToFit="false"/>
      <protection locked="true" hidden="false"/>
    </xf>
    <xf numFmtId="169" fontId="10" fillId="0" borderId="1" xfId="0" applyFont="true" applyBorder="true" applyAlignment="false" applyProtection="false">
      <alignment horizontal="general" vertical="bottom" textRotation="0" wrapText="false" indent="0" shrinkToFit="false"/>
      <protection locked="true" hidden="false"/>
    </xf>
    <xf numFmtId="169" fontId="11" fillId="0" borderId="1" xfId="0" applyFont="true" applyBorder="true" applyAlignment="false" applyProtection="false">
      <alignment horizontal="general" vertical="bottom" textRotation="0" wrapText="false" indent="0" shrinkToFit="false"/>
      <protection locked="true" hidden="false"/>
    </xf>
    <xf numFmtId="169" fontId="13" fillId="4" borderId="2" xfId="0" applyFont="true" applyBorder="true" applyAlignment="false" applyProtection="false">
      <alignment horizontal="general" vertical="bottom" textRotation="0" wrapText="false" indent="0" shrinkToFit="false"/>
      <protection locked="true" hidden="false"/>
    </xf>
    <xf numFmtId="169" fontId="16" fillId="0" borderId="1" xfId="0" applyFont="true" applyBorder="true" applyAlignment="false" applyProtection="false">
      <alignment horizontal="general" vertical="bottom" textRotation="0" wrapText="false" indent="0" shrinkToFit="false"/>
      <protection locked="true" hidden="false"/>
    </xf>
    <xf numFmtId="169" fontId="16" fillId="5" borderId="1" xfId="0" applyFont="true" applyBorder="true" applyAlignment="false" applyProtection="false">
      <alignment horizontal="general" vertical="bottom" textRotation="0" wrapText="false" indent="0" shrinkToFit="false"/>
      <protection locked="true" hidden="false"/>
    </xf>
    <xf numFmtId="164" fontId="0" fillId="5" borderId="0" xfId="0" applyFont="false" applyBorder="false" applyAlignment="false" applyProtection="false">
      <alignment horizontal="general" vertical="bottom" textRotation="0" wrapText="false" indent="0" shrinkToFit="false"/>
      <protection locked="true" hidden="false"/>
    </xf>
    <xf numFmtId="169" fontId="10" fillId="5" borderId="1" xfId="0" applyFont="true" applyBorder="true" applyAlignment="false" applyProtection="false">
      <alignment horizontal="general" vertical="bottom" textRotation="0" wrapText="false" indent="0" shrinkToFit="false"/>
      <protection locked="true" hidden="false"/>
    </xf>
    <xf numFmtId="170" fontId="11" fillId="0" borderId="1" xfId="0" applyFont="true" applyBorder="true" applyAlignment="false" applyProtection="false">
      <alignment horizontal="general" vertical="bottom" textRotation="0" wrapText="false" indent="0" shrinkToFit="false"/>
      <protection locked="true" hidden="false"/>
    </xf>
    <xf numFmtId="170" fontId="14" fillId="3" borderId="1" xfId="0" applyFont="true" applyBorder="true" applyAlignment="false" applyProtection="false">
      <alignment horizontal="general" vertical="bottom" textRotation="0" wrapText="false" indent="0" shrinkToFit="false"/>
      <protection locked="true" hidden="false"/>
    </xf>
    <xf numFmtId="168" fontId="11" fillId="0" borderId="1" xfId="0" applyFont="true" applyBorder="true" applyAlignment="false" applyProtection="false">
      <alignment horizontal="general" vertical="bottom" textRotation="0" wrapText="false" indent="0" shrinkToFit="false"/>
      <protection locked="true" hidden="false"/>
    </xf>
    <xf numFmtId="171" fontId="11" fillId="0" borderId="1" xfId="0" applyFont="true" applyBorder="true" applyAlignment="false" applyProtection="false">
      <alignment horizontal="general" vertical="bottom" textRotation="0" wrapText="false" indent="0" shrinkToFit="false"/>
      <protection locked="true" hidden="false"/>
    </xf>
    <xf numFmtId="166" fontId="13" fillId="4" borderId="2" xfId="0" applyFont="true" applyBorder="true" applyAlignment="false" applyProtection="false">
      <alignment horizontal="general" vertical="bottom" textRotation="0" wrapText="false" indent="0" shrinkToFit="false"/>
      <protection locked="true" hidden="false"/>
    </xf>
    <xf numFmtId="166" fontId="10" fillId="0" borderId="1" xfId="0" applyFont="true" applyBorder="true" applyAlignment="false" applyProtection="false">
      <alignment horizontal="general" vertical="bottom" textRotation="0" wrapText="false" indent="0" shrinkToFit="false"/>
      <protection locked="true" hidden="false"/>
    </xf>
    <xf numFmtId="171" fontId="11" fillId="5" borderId="1" xfId="0" applyFont="true" applyBorder="true" applyAlignment="false" applyProtection="false">
      <alignment horizontal="general" vertical="bottom" textRotation="0" wrapText="false" indent="0" shrinkToFit="false"/>
      <protection locked="true" hidden="false"/>
    </xf>
    <xf numFmtId="166" fontId="11" fillId="5" borderId="1" xfId="0" applyFont="true" applyBorder="true" applyAlignment="false" applyProtection="false">
      <alignment horizontal="general" vertical="bottom" textRotation="0" wrapText="false" indent="0" shrinkToFit="false"/>
      <protection locked="true" hidden="false"/>
    </xf>
    <xf numFmtId="165" fontId="14" fillId="5" borderId="1" xfId="0" applyFont="true" applyBorder="true" applyAlignment="false" applyProtection="false">
      <alignment horizontal="general" vertical="bottom" textRotation="0" wrapText="false" indent="0" shrinkToFit="false"/>
      <protection locked="true" hidden="false"/>
    </xf>
    <xf numFmtId="167" fontId="11" fillId="5" borderId="1" xfId="0" applyFont="true" applyBorder="true" applyAlignment="false" applyProtection="false">
      <alignment horizontal="general" vertical="bottom" textRotation="0" wrapText="false" indent="0" shrinkToFit="false"/>
      <protection locked="true" hidden="false"/>
    </xf>
    <xf numFmtId="168" fontId="10" fillId="5" borderId="1" xfId="0" applyFont="true" applyBorder="true" applyAlignment="false" applyProtection="false">
      <alignment horizontal="general" vertical="bottom" textRotation="0" wrapText="false" indent="0" shrinkToFit="false"/>
      <protection locked="true" hidden="false"/>
    </xf>
    <xf numFmtId="167" fontId="13" fillId="4" borderId="2" xfId="0" applyFont="true" applyBorder="true" applyAlignment="false" applyProtection="false">
      <alignment horizontal="general" vertical="bottom" textRotation="0" wrapText="false" indent="0" shrinkToFit="false"/>
      <protection locked="true" hidden="false"/>
    </xf>
    <xf numFmtId="168" fontId="13" fillId="4" borderId="2" xfId="0" applyFont="true" applyBorder="true" applyAlignment="false" applyProtection="false">
      <alignment horizontal="general" vertical="bottom" textRotation="0" wrapText="false" indent="0" shrinkToFit="false"/>
      <protection locked="true" hidden="false"/>
    </xf>
    <xf numFmtId="167" fontId="13" fillId="0" borderId="1" xfId="0" applyFont="true" applyBorder="true" applyAlignment="false" applyProtection="false">
      <alignment horizontal="general" vertical="bottom" textRotation="0" wrapText="false" indent="0" shrinkToFit="false"/>
      <protection locked="true" hidden="false"/>
    </xf>
    <xf numFmtId="164" fontId="16" fillId="0" borderId="1" xfId="0" applyFont="true" applyBorder="true" applyAlignment="false" applyProtection="false">
      <alignment horizontal="general" vertical="bottom" textRotation="0" wrapText="false" indent="0" shrinkToFit="false"/>
      <protection locked="true" hidden="false"/>
    </xf>
    <xf numFmtId="164" fontId="16" fillId="5" borderId="1" xfId="0" applyFont="true" applyBorder="true" applyAlignment="false" applyProtection="false">
      <alignment horizontal="general" vertical="bottom" textRotation="0" wrapText="false" indent="0" shrinkToFit="false"/>
      <protection locked="true" hidden="false"/>
    </xf>
    <xf numFmtId="164" fontId="12" fillId="5" borderId="1" xfId="0" applyFont="true" applyBorder="true" applyAlignment="false" applyProtection="false">
      <alignment horizontal="general" vertical="bottom" textRotation="0" wrapText="false" indent="0" shrinkToFit="false"/>
      <protection locked="true" hidden="false"/>
    </xf>
    <xf numFmtId="167" fontId="10" fillId="0" borderId="1" xfId="0" applyFont="true" applyBorder="true" applyAlignment="false" applyProtection="false">
      <alignment horizontal="general" vertical="bottom" textRotation="0" wrapText="false" indent="0" shrinkToFit="false"/>
      <protection locked="true" hidden="false"/>
    </xf>
    <xf numFmtId="168" fontId="16" fillId="6" borderId="1" xfId="0" applyFont="true" applyBorder="true" applyAlignment="false" applyProtection="false">
      <alignment horizontal="general" vertical="bottom" textRotation="0" wrapText="false" indent="0" shrinkToFit="false"/>
      <protection locked="true" hidden="false"/>
    </xf>
    <xf numFmtId="168" fontId="13" fillId="0" borderId="1" xfId="0" applyFont="true" applyBorder="true" applyAlignment="false" applyProtection="false">
      <alignment horizontal="general" vertical="bottom" textRotation="0" wrapText="false" indent="0" shrinkToFit="false"/>
      <protection locked="true" hidden="false"/>
    </xf>
    <xf numFmtId="165" fontId="13" fillId="0" borderId="1" xfId="0" applyFont="true" applyBorder="true" applyAlignment="false" applyProtection="false">
      <alignment horizontal="general" vertical="bottom" textRotation="0" wrapText="false" indent="0" shrinkToFit="false"/>
      <protection locked="true" hidden="false"/>
    </xf>
    <xf numFmtId="165" fontId="13" fillId="5" borderId="1" xfId="0" applyFont="true" applyBorder="true" applyAlignment="false" applyProtection="false">
      <alignment horizontal="general" vertical="bottom" textRotation="0" wrapText="false" indent="0" shrinkToFit="false"/>
      <protection locked="true" hidden="false"/>
    </xf>
    <xf numFmtId="164" fontId="10" fillId="0" borderId="1" xfId="0" applyFont="true" applyBorder="true" applyAlignment="true" applyProtection="false">
      <alignment horizontal="center" vertical="bottom" textRotation="0" wrapText="false" indent="0" shrinkToFit="false"/>
      <protection locked="true" hidden="false"/>
    </xf>
    <xf numFmtId="164" fontId="13" fillId="3" borderId="1" xfId="0" applyFont="true" applyBorder="true" applyAlignment="true" applyProtection="false">
      <alignment horizontal="center" vertical="bottom" textRotation="0" wrapText="false" indent="0" shrinkToFit="false"/>
      <protection locked="true" hidden="false"/>
    </xf>
    <xf numFmtId="172" fontId="16" fillId="6" borderId="1" xfId="0" applyFont="true" applyBorder="true" applyAlignment="false" applyProtection="false">
      <alignment horizontal="general" vertical="bottom" textRotation="0" wrapText="false" indent="0" shrinkToFit="false"/>
      <protection locked="true" hidden="false"/>
    </xf>
    <xf numFmtId="168" fontId="16" fillId="0" borderId="1" xfId="0" applyFont="true" applyBorder="true" applyAlignment="false" applyProtection="false">
      <alignment horizontal="general" vertical="bottom" textRotation="0" wrapText="false" indent="0" shrinkToFit="false"/>
      <protection locked="true" hidden="false"/>
    </xf>
    <xf numFmtId="166" fontId="16" fillId="0" borderId="1" xfId="0" applyFont="true" applyBorder="true" applyAlignment="false" applyProtection="false">
      <alignment horizontal="general" vertical="bottom" textRotation="0" wrapText="false" indent="0" shrinkToFit="false"/>
      <protection locked="true" hidden="false"/>
    </xf>
    <xf numFmtId="172" fontId="16" fillId="0" borderId="1" xfId="0" applyFont="true" applyBorder="true" applyAlignment="false" applyProtection="false">
      <alignment horizontal="general" vertical="bottom" textRotation="0" wrapText="false" indent="0" shrinkToFit="false"/>
      <protection locked="true" hidden="false"/>
    </xf>
    <xf numFmtId="171" fontId="16" fillId="0" borderId="1" xfId="0" applyFont="true" applyBorder="true" applyAlignment="false" applyProtection="false">
      <alignment horizontal="general" vertical="bottom" textRotation="0" wrapText="false" indent="0" shrinkToFit="false"/>
      <protection locked="true" hidden="false"/>
    </xf>
    <xf numFmtId="164" fontId="10" fillId="0" borderId="1" xfId="0" applyFont="true" applyBorder="true" applyAlignment="true" applyProtection="false">
      <alignment horizontal="right" vertical="bottom" textRotation="0" wrapText="false" indent="0" shrinkToFit="false"/>
      <protection locked="true" hidden="false"/>
    </xf>
    <xf numFmtId="166" fontId="16" fillId="6" borderId="1" xfId="0" applyFont="true" applyBorder="true" applyAlignment="false" applyProtection="false">
      <alignment horizontal="general" vertical="bottom" textRotation="0" wrapText="false" indent="0" shrinkToFit="false"/>
      <protection locked="true" hidden="false"/>
    </xf>
    <xf numFmtId="165" fontId="16" fillId="6" borderId="1" xfId="0" applyFont="true" applyBorder="true" applyAlignment="false" applyProtection="false">
      <alignment horizontal="general" vertical="bottom" textRotation="0" wrapText="false" indent="0" shrinkToFit="false"/>
      <protection locked="true" hidden="false"/>
    </xf>
    <xf numFmtId="169" fontId="16" fillId="6" borderId="1" xfId="0" applyFont="true" applyBorder="true" applyAlignment="false" applyProtection="false">
      <alignment horizontal="general" vertical="bottom" textRotation="0" wrapText="false" indent="0" shrinkToFit="false"/>
      <protection locked="true" hidden="false"/>
    </xf>
    <xf numFmtId="164" fontId="9" fillId="2" borderId="0" xfId="0" applyFont="true" applyBorder="false" applyAlignment="false" applyProtection="false">
      <alignment horizontal="general" vertical="bottom" textRotation="0" wrapText="false" indent="0" shrinkToFit="false"/>
      <protection locked="true" hidden="false"/>
    </xf>
    <xf numFmtId="165" fontId="9" fillId="2"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5" fontId="16" fillId="0" borderId="0" xfId="0" applyFont="true" applyBorder="false" applyAlignment="false" applyProtection="false">
      <alignment horizontal="general" vertical="bottom" textRotation="0" wrapText="false" indent="0" shrinkToFit="false"/>
      <protection locked="true" hidden="false"/>
    </xf>
    <xf numFmtId="166" fontId="16"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73" fontId="10" fillId="0" borderId="1" xfId="0" applyFont="true" applyBorder="true" applyAlignment="false" applyProtection="false">
      <alignment horizontal="general" vertical="bottom" textRotation="0" wrapText="false" indent="0" shrinkToFit="false"/>
      <protection locked="true" hidden="false"/>
    </xf>
    <xf numFmtId="171" fontId="10" fillId="0" borderId="1" xfId="0" applyFont="true" applyBorder="true" applyAlignment="false" applyProtection="false">
      <alignment horizontal="general" vertical="bottom" textRotation="0" wrapText="false" indent="0" shrinkToFit="false"/>
      <protection locked="true" hidden="false"/>
    </xf>
    <xf numFmtId="173" fontId="10" fillId="5" borderId="1" xfId="0" applyFont="true" applyBorder="true" applyAlignment="false" applyProtection="false">
      <alignment horizontal="general" vertical="bottom" textRotation="0" wrapText="false" indent="0" shrinkToFit="false"/>
      <protection locked="true" hidden="false"/>
    </xf>
    <xf numFmtId="171" fontId="10" fillId="5" borderId="1" xfId="0" applyFont="true" applyBorder="true" applyAlignment="false" applyProtection="false">
      <alignment horizontal="general" vertical="bottom" textRotation="0" wrapText="false" indent="0" shrinkToFit="false"/>
      <protection locked="true" hidden="false"/>
    </xf>
    <xf numFmtId="164" fontId="10" fillId="5" borderId="1" xfId="0" applyFont="true" applyBorder="true" applyAlignment="true" applyProtection="false">
      <alignment horizontal="right" vertical="bottom" textRotation="0" wrapText="false" indent="0" shrinkToFit="false"/>
      <protection locked="true" hidden="false"/>
    </xf>
    <xf numFmtId="171" fontId="13" fillId="4" borderId="2" xfId="0" applyFont="true" applyBorder="true" applyAlignment="false" applyProtection="false">
      <alignment horizontal="general" vertical="bottom" textRotation="0" wrapText="false" indent="0" shrinkToFit="false"/>
      <protection locked="true" hidden="false"/>
    </xf>
    <xf numFmtId="165" fontId="10" fillId="0" borderId="1" xfId="0" applyFont="true" applyBorder="true" applyAlignment="true" applyProtection="false">
      <alignment horizontal="right" vertical="bottom" textRotation="0" wrapText="false" indent="0" shrinkToFit="false"/>
      <protection locked="true" hidden="false"/>
    </xf>
    <xf numFmtId="166" fontId="10" fillId="5" borderId="1" xfId="0" applyFont="true" applyBorder="true" applyAlignment="false" applyProtection="false">
      <alignment horizontal="general" vertical="bottom" textRotation="0" wrapText="false" indent="0" shrinkToFit="false"/>
      <protection locked="true" hidden="false"/>
    </xf>
    <xf numFmtId="165" fontId="10" fillId="5" borderId="1" xfId="0" applyFont="true" applyBorder="true" applyAlignment="true" applyProtection="false">
      <alignment horizontal="right" vertical="bottom" textRotation="0" wrapText="false" indent="0" shrinkToFit="false"/>
      <protection locked="true" hidden="false"/>
    </xf>
    <xf numFmtId="171" fontId="10" fillId="0" borderId="1" xfId="0" applyFont="true" applyBorder="true" applyAlignment="true" applyProtection="false">
      <alignment horizontal="right" vertical="bottom" textRotation="0" wrapText="false" indent="0" shrinkToFit="false"/>
      <protection locked="true" hidden="false"/>
    </xf>
    <xf numFmtId="174" fontId="9" fillId="2" borderId="0" xfId="0" applyFont="true" applyBorder="false" applyAlignment="false" applyProtection="false">
      <alignment horizontal="general" vertical="bottom" textRotation="0" wrapText="false" indent="0" shrinkToFit="false"/>
      <protection locked="true" hidden="false"/>
    </xf>
    <xf numFmtId="175" fontId="13" fillId="0" borderId="0" xfId="0" applyFont="true" applyBorder="false" applyAlignment="false" applyProtection="false">
      <alignment horizontal="general" vertical="bottom" textRotation="0" wrapText="false" indent="0" shrinkToFit="false"/>
      <protection locked="true" hidden="false"/>
    </xf>
    <xf numFmtId="167" fontId="10" fillId="4" borderId="1" xfId="0" applyFont="true" applyBorder="true" applyAlignment="false" applyProtection="false">
      <alignment horizontal="general" vertical="bottom" textRotation="0" wrapText="false" indent="0" shrinkToFit="false"/>
      <protection locked="true" hidden="false"/>
    </xf>
    <xf numFmtId="167" fontId="13" fillId="4" borderId="1" xfId="0" applyFont="true" applyBorder="true" applyAlignment="false" applyProtection="false">
      <alignment horizontal="general" vertical="bottom" textRotation="0" wrapText="false" indent="0" shrinkToFit="false"/>
      <protection locked="true" hidden="false"/>
    </xf>
    <xf numFmtId="167" fontId="16" fillId="0" borderId="1" xfId="0" applyFont="true" applyBorder="true" applyAlignment="false" applyProtection="false">
      <alignment horizontal="general" vertical="bottom" textRotation="0" wrapText="false" indent="0" shrinkToFit="false"/>
      <protection locked="true" hidden="false"/>
    </xf>
    <xf numFmtId="170" fontId="13" fillId="0" borderId="1" xfId="0" applyFont="true" applyBorder="true" applyAlignment="false" applyProtection="false">
      <alignment horizontal="general" vertical="bottom" textRotation="0" wrapText="false" indent="0" shrinkToFit="false"/>
      <protection locked="true" hidden="false"/>
    </xf>
    <xf numFmtId="170" fontId="10" fillId="0" borderId="1" xfId="0" applyFont="true" applyBorder="true" applyAlignment="false" applyProtection="false">
      <alignment horizontal="general" vertical="bottom" textRotation="0" wrapText="false" indent="0" shrinkToFit="false"/>
      <protection locked="true" hidden="false"/>
    </xf>
    <xf numFmtId="170" fontId="13" fillId="5" borderId="1" xfId="0" applyFont="true" applyBorder="true" applyAlignment="false" applyProtection="false">
      <alignment horizontal="general" vertical="bottom" textRotation="0" wrapText="false" indent="0" shrinkToFit="false"/>
      <protection locked="true" hidden="false"/>
    </xf>
    <xf numFmtId="170" fontId="11" fillId="5" borderId="1" xfId="0" applyFont="true" applyBorder="true" applyAlignment="false" applyProtection="false">
      <alignment horizontal="general" vertical="bottom" textRotation="0" wrapText="false" indent="0" shrinkToFit="false"/>
      <protection locked="true" hidden="false"/>
    </xf>
    <xf numFmtId="167" fontId="16" fillId="5" borderId="1" xfId="0" applyFont="true" applyBorder="true" applyAlignment="false" applyProtection="false">
      <alignment horizontal="general" vertical="bottom" textRotation="0" wrapText="false" indent="0" shrinkToFit="false"/>
      <protection locked="true" hidden="false"/>
    </xf>
    <xf numFmtId="170" fontId="10" fillId="5" borderId="1" xfId="0" applyFont="true" applyBorder="true" applyAlignment="false" applyProtection="false">
      <alignment horizontal="general" vertical="bottom" textRotation="0" wrapText="false" indent="0" shrinkToFit="false"/>
      <protection locked="true" hidden="false"/>
    </xf>
    <xf numFmtId="170" fontId="13" fillId="4" borderId="2" xfId="0" applyFont="true" applyBorder="true" applyAlignment="false" applyProtection="false">
      <alignment horizontal="general" vertical="bottom" textRotation="0" wrapText="false" indent="0" shrinkToFit="false"/>
      <protection locked="true" hidden="false"/>
    </xf>
    <xf numFmtId="167" fontId="10" fillId="5" borderId="1" xfId="0" applyFont="true" applyBorder="true" applyAlignment="false" applyProtection="false">
      <alignment horizontal="general" vertical="bottom" textRotation="0" wrapText="false" indent="0" shrinkToFit="false"/>
      <protection locked="true" hidden="false"/>
    </xf>
    <xf numFmtId="164" fontId="10" fillId="0" borderId="1" xfId="0" applyFont="true" applyBorder="true" applyAlignment="true" applyProtection="false">
      <alignment horizontal="general" vertical="top" textRotation="0" wrapText="fals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4" fontId="18" fillId="0" borderId="1" xfId="0" applyFont="true" applyBorder="true" applyAlignment="true" applyProtection="false">
      <alignment horizontal="general" vertical="top" textRotation="0" wrapText="true" indent="0" shrinkToFit="false"/>
      <protection locked="true" hidden="false"/>
    </xf>
    <xf numFmtId="164" fontId="15" fillId="0" borderId="0" xfId="0" applyFont="true" applyBorder="false" applyAlignment="true" applyProtection="false">
      <alignment horizontal="general" vertical="top" textRotation="0" wrapText="true" indent="0" shrinkToFit="false"/>
      <protection locked="true" hidden="false"/>
    </xf>
    <xf numFmtId="164" fontId="9" fillId="2" borderId="0" xfId="0" applyFont="true" applyBorder="false" applyAlignment="true" applyProtection="false">
      <alignment horizontal="general" vertical="top" textRotation="0" wrapText="true" indent="0" shrinkToFit="false"/>
      <protection locked="true" hidden="false"/>
    </xf>
    <xf numFmtId="164" fontId="13" fillId="0" borderId="0" xfId="0" applyFont="true" applyBorder="false" applyAlignment="true" applyProtection="false">
      <alignment horizontal="general" vertical="top" textRotation="0" wrapText="tru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A5A33"/>
      <rgbColor rgb="FF800080"/>
      <rgbColor rgb="FF008080"/>
      <rgbColor rgb="FFC6CFAA"/>
      <rgbColor rgb="FF5D603E"/>
      <rgbColor rgb="FF9999FF"/>
      <rgbColor rgb="FF993366"/>
      <rgbColor rgb="FFFFF4D6"/>
      <rgbColor rgb="FFCCFFFF"/>
      <rgbColor rgb="FF660066"/>
      <rgbColor rgb="FFFF8080"/>
      <rgbColor rgb="FF0066CC"/>
      <rgbColor rgb="FFDDE3C9"/>
      <rgbColor rgb="FF000080"/>
      <rgbColor rgb="FFFF00FF"/>
      <rgbColor rgb="FFFFFF00"/>
      <rgbColor rgb="FF00FFFF"/>
      <rgbColor rgb="FF800080"/>
      <rgbColor rgb="FF800000"/>
      <rgbColor rgb="FF008080"/>
      <rgbColor rgb="FF0000FF"/>
      <rgbColor rgb="FF00CCFF"/>
      <rgbColor rgb="FFCCFFFF"/>
      <rgbColor rgb="FFEDF3DA"/>
      <rgbColor rgb="FFF8EFD4"/>
      <rgbColor rgb="FF99CCFF"/>
      <rgbColor rgb="FFFF99CC"/>
      <rgbColor rgb="FFCC99FF"/>
      <rgbColor rgb="FFFFCC99"/>
      <rgbColor rgb="FF3366FF"/>
      <rgbColor rgb="FF33CCCC"/>
      <rgbColor rgb="FF99CC00"/>
      <rgbColor rgb="FFFFCC00"/>
      <rgbColor rgb="FFFF9900"/>
      <rgbColor rgb="FFFF6600"/>
      <rgbColor rgb="FF68705F"/>
      <rgbColor rgb="FF969696"/>
      <rgbColor rgb="FF003366"/>
      <rgbColor rgb="FF339966"/>
      <rgbColor rgb="FF003300"/>
      <rgbColor rgb="FF1F261A"/>
      <rgbColor rgb="FF993300"/>
      <rgbColor rgb="FF993366"/>
      <rgbColor rgb="FF333399"/>
      <rgbColor rgb="FF2E3234"/>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worksheet" Target="worksheets/sheet16.xml"/><Relationship Id="rId19" Type="http://schemas.openxmlformats.org/officeDocument/2006/relationships/worksheet" Target="worksheets/sheet17.xml"/><Relationship Id="rId20" Type="http://schemas.openxmlformats.org/officeDocument/2006/relationships/worksheet" Target="worksheets/sheet18.xml"/><Relationship Id="rId21" Type="http://schemas.openxmlformats.org/officeDocument/2006/relationships/worksheet" Target="worksheets/sheet19.xml"/><Relationship Id="rId22" Type="http://schemas.openxmlformats.org/officeDocument/2006/relationships/worksheet" Target="worksheets/sheet20.xml"/><Relationship Id="rId23"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G5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44"/>
    <col collapsed="false" customWidth="true" hidden="false" outlineLevel="0" max="6" min="3" style="0" width="18"/>
    <col collapsed="false" customWidth="true" hidden="false" outlineLevel="0" max="7" min="7" style="0" width="14"/>
  </cols>
  <sheetData>
    <row r="2" customFormat="false" ht="15" hidden="false" customHeight="false" outlineLevel="0" collapsed="false">
      <c r="B2" s="1" t="s">
        <v>0</v>
      </c>
    </row>
    <row r="4" customFormat="false" ht="26.8" hidden="false" customHeight="false" outlineLevel="0" collapsed="false">
      <c r="B4" s="2" t="s">
        <v>1</v>
      </c>
    </row>
    <row r="5" customFormat="false" ht="15" hidden="false" customHeight="false" outlineLevel="0" collapsed="false">
      <c r="B5" s="3" t="s">
        <v>2</v>
      </c>
    </row>
    <row r="7" customFormat="false" ht="15" hidden="false" customHeight="false" outlineLevel="0" collapsed="false">
      <c r="B7" s="4" t="s">
        <v>3</v>
      </c>
    </row>
    <row r="10" customFormat="false" ht="15" hidden="false" customHeight="false" outlineLevel="0" collapsed="false">
      <c r="B10" s="5" t="s">
        <v>4</v>
      </c>
    </row>
    <row r="11" customFormat="false" ht="19.5" hidden="false" customHeight="true" outlineLevel="0" collapsed="false">
      <c r="B11" s="6" t="s">
        <v>5</v>
      </c>
      <c r="C11" s="7" t="s">
        <v>6</v>
      </c>
      <c r="D11" s="6" t="s">
        <v>7</v>
      </c>
      <c r="E11" s="6" t="s">
        <v>8</v>
      </c>
    </row>
    <row r="12" customFormat="false" ht="15" hidden="false" customHeight="false" outlineLevel="0" collapsed="false">
      <c r="B12" s="8" t="s">
        <v>9</v>
      </c>
      <c r="C12" s="9" t="str">
        <f aca="false">08_Annahmen!$D$5</f>
        <v>Basis</v>
      </c>
      <c r="D12" s="8"/>
      <c r="E12" s="10" t="s">
        <v>10</v>
      </c>
    </row>
    <row r="13" customFormat="false" ht="15" hidden="false" customHeight="false" outlineLevel="0" collapsed="false">
      <c r="B13" s="8" t="s">
        <v>11</v>
      </c>
      <c r="C13" s="11" t="n">
        <f aca="false">12_Ertragsrechnung!$E$25</f>
        <v>22228.0096</v>
      </c>
      <c r="D13" s="8" t="s">
        <v>12</v>
      </c>
      <c r="E13" s="10" t="s">
        <v>13</v>
      </c>
    </row>
    <row r="14" customFormat="false" ht="15" hidden="false" customHeight="false" outlineLevel="0" collapsed="false">
      <c r="B14" s="8" t="s">
        <v>14</v>
      </c>
      <c r="C14" s="11" t="n">
        <f aca="false">01_Kennwerte!$O$12</f>
        <v>172872.89</v>
      </c>
      <c r="D14" s="8" t="s">
        <v>15</v>
      </c>
      <c r="E14" s="10" t="s">
        <v>16</v>
      </c>
    </row>
    <row r="15" customFormat="false" ht="15" hidden="false" customHeight="false" outlineLevel="0" collapsed="false">
      <c r="B15" s="8" t="s">
        <v>17</v>
      </c>
      <c r="C15" s="11" t="n">
        <f aca="false">12_Ertragsrechnung!$H$25</f>
        <v>8254797.15683932</v>
      </c>
      <c r="D15" s="8" t="s">
        <v>18</v>
      </c>
      <c r="E15" s="10" t="s">
        <v>19</v>
      </c>
    </row>
    <row r="16" customFormat="false" ht="15" hidden="false" customHeight="false" outlineLevel="0" collapsed="false">
      <c r="B16" s="8" t="s">
        <v>20</v>
      </c>
      <c r="C16" s="11" t="n">
        <f aca="false">12_Ertragsrechnung!$N$25</f>
        <v>6632650.29775532</v>
      </c>
      <c r="D16" s="8" t="s">
        <v>18</v>
      </c>
      <c r="E16" s="10" t="s">
        <v>21</v>
      </c>
    </row>
    <row r="17" customFormat="false" ht="15" hidden="false" customHeight="false" outlineLevel="0" collapsed="false">
      <c r="B17" s="12" t="s">
        <v>22</v>
      </c>
      <c r="C17" s="13" t="n">
        <f aca="false">13_Bewertung!$G$26</f>
        <v>162272318.762024</v>
      </c>
      <c r="D17" s="8" t="s">
        <v>18</v>
      </c>
      <c r="E17" s="10" t="s">
        <v>23</v>
      </c>
    </row>
    <row r="18" customFormat="false" ht="15" hidden="false" customHeight="false" outlineLevel="0" collapsed="false">
      <c r="B18" s="8" t="s">
        <v>24</v>
      </c>
      <c r="C18" s="11" t="n">
        <f aca="false">13_Bewertung!$J$26</f>
        <v>154087675.77664</v>
      </c>
      <c r="D18" s="8" t="s">
        <v>18</v>
      </c>
      <c r="E18" s="10" t="s">
        <v>25</v>
      </c>
    </row>
    <row r="19" customFormat="false" ht="15" hidden="false" customHeight="false" outlineLevel="0" collapsed="false">
      <c r="B19" s="8" t="s">
        <v>26</v>
      </c>
      <c r="C19" s="14" t="n">
        <f aca="false">12_Ertragsrechnung!$H$25/13_Bewertung!$G$26</f>
        <v>0.050870026507387</v>
      </c>
      <c r="D19" s="8"/>
      <c r="E19" s="10" t="s">
        <v>27</v>
      </c>
    </row>
    <row r="20" customFormat="false" ht="15" hidden="false" customHeight="false" outlineLevel="0" collapsed="false">
      <c r="B20" s="8" t="s">
        <v>28</v>
      </c>
      <c r="C20" s="14" t="n">
        <f aca="false">12_Ertragsrechnung!$N$25/13_Bewertung!$G$26</f>
        <v>0.0408735781207529</v>
      </c>
      <c r="D20" s="8"/>
      <c r="E20" s="10"/>
    </row>
    <row r="21" customFormat="false" ht="15" hidden="false" customHeight="false" outlineLevel="0" collapsed="false">
      <c r="B21" s="15" t="s">
        <v>29</v>
      </c>
      <c r="C21" s="16" t="n">
        <f aca="false">16_Residualwert!$I$21</f>
        <v>179.562222677683</v>
      </c>
      <c r="D21" s="17" t="s">
        <v>30</v>
      </c>
      <c r="E21" s="18" t="s">
        <v>31</v>
      </c>
    </row>
    <row r="22" customFormat="false" ht="15" hidden="false" customHeight="false" outlineLevel="0" collapsed="false">
      <c r="B22" s="8" t="s">
        <v>32</v>
      </c>
      <c r="C22" s="19" t="n">
        <f aca="false">16_Residualwert!$H$21</f>
        <v>109.170859691013</v>
      </c>
      <c r="D22" s="8" t="s">
        <v>30</v>
      </c>
      <c r="E22" s="10" t="s">
        <v>33</v>
      </c>
    </row>
    <row r="23" customFormat="false" ht="15" hidden="false" customHeight="false" outlineLevel="0" collapsed="false">
      <c r="B23" s="15" t="s">
        <v>34</v>
      </c>
      <c r="C23" s="16" t="n">
        <f aca="false">16_Residualwert!$M$21</f>
        <v>63.3913629866704</v>
      </c>
      <c r="D23" s="17" t="s">
        <v>30</v>
      </c>
      <c r="E23" s="18" t="s">
        <v>35</v>
      </c>
    </row>
    <row r="24" customFormat="false" ht="15" hidden="false" customHeight="false" outlineLevel="0" collapsed="false">
      <c r="B24" s="8" t="s">
        <v>36</v>
      </c>
      <c r="C24" s="19" t="n">
        <f aca="false">16_Residualwert!$N$21</f>
        <v>46.1014590710111</v>
      </c>
      <c r="D24" s="8" t="s">
        <v>30</v>
      </c>
      <c r="E24" s="10" t="s">
        <v>37</v>
      </c>
    </row>
    <row r="27" customFormat="false" ht="15" hidden="false" customHeight="false" outlineLevel="0" collapsed="false">
      <c r="B27" s="5" t="s">
        <v>38</v>
      </c>
    </row>
    <row r="28" customFormat="false" ht="19.5" hidden="false" customHeight="true" outlineLevel="0" collapsed="false">
      <c r="B28" s="6" t="s">
        <v>39</v>
      </c>
      <c r="C28" s="7" t="s">
        <v>40</v>
      </c>
      <c r="D28" s="7" t="s">
        <v>41</v>
      </c>
      <c r="E28" s="7" t="s">
        <v>42</v>
      </c>
      <c r="F28" s="7" t="s">
        <v>43</v>
      </c>
      <c r="G28" s="7" t="s">
        <v>44</v>
      </c>
    </row>
    <row r="29" customFormat="false" ht="15" hidden="false" customHeight="false" outlineLevel="0" collapsed="false">
      <c r="B29" s="8" t="s">
        <v>45</v>
      </c>
      <c r="C29" s="11" t="n">
        <f aca="false">13_Bewertung!$D$31</f>
        <v>3614.4</v>
      </c>
      <c r="D29" s="11" t="n">
        <f aca="false">13_Bewertung!$E$31</f>
        <v>1207226.48911584</v>
      </c>
      <c r="E29" s="11" t="n">
        <f aca="false">13_Bewertung!$F$31</f>
        <v>1027755.31574846</v>
      </c>
      <c r="F29" s="11" t="n">
        <f aca="false">13_Bewertung!$G$31</f>
        <v>29723702.2278959</v>
      </c>
      <c r="G29" s="14" t="n">
        <f aca="false">13_Bewertung!$H$31</f>
        <v>0.0406149435847479</v>
      </c>
    </row>
    <row r="30" customFormat="false" ht="15" hidden="false" customHeight="false" outlineLevel="0" collapsed="false">
      <c r="B30" s="8" t="s">
        <v>46</v>
      </c>
      <c r="C30" s="11" t="n">
        <f aca="false">13_Bewertung!$D$32</f>
        <v>4921.5996</v>
      </c>
      <c r="D30" s="11" t="n">
        <f aca="false">13_Bewertung!$E$32</f>
        <v>2174757.9934159</v>
      </c>
      <c r="E30" s="11" t="n">
        <f aca="false">13_Bewertung!$F$32</f>
        <v>1628423.28778765</v>
      </c>
      <c r="F30" s="11" t="n">
        <f aca="false">13_Bewertung!$G$32</f>
        <v>35847176.0465718</v>
      </c>
      <c r="G30" s="14" t="n">
        <f aca="false">13_Bewertung!$H$32</f>
        <v>0.0606674843951586</v>
      </c>
    </row>
    <row r="31" customFormat="false" ht="15" hidden="false" customHeight="false" outlineLevel="0" collapsed="false">
      <c r="B31" s="8" t="s">
        <v>47</v>
      </c>
      <c r="C31" s="11" t="n">
        <f aca="false">13_Bewertung!$D$33</f>
        <v>6442.81</v>
      </c>
      <c r="D31" s="11" t="n">
        <f aca="false">13_Bewertung!$E$33</f>
        <v>2450135.89330668</v>
      </c>
      <c r="E31" s="11" t="n">
        <f aca="false">13_Bewertung!$F$33</f>
        <v>1913970.83036843</v>
      </c>
      <c r="F31" s="11" t="n">
        <f aca="false">13_Bewertung!$G$33</f>
        <v>37048440.9625339</v>
      </c>
      <c r="G31" s="14" t="n">
        <f aca="false">13_Bewertung!$H$33</f>
        <v>0.0661333062782437</v>
      </c>
    </row>
    <row r="32" customFormat="false" ht="15" hidden="false" customHeight="false" outlineLevel="0" collapsed="false">
      <c r="B32" s="8" t="s">
        <v>48</v>
      </c>
      <c r="C32" s="11" t="n">
        <f aca="false">13_Bewertung!$D$34</f>
        <v>7249.2</v>
      </c>
      <c r="D32" s="11" t="n">
        <f aca="false">13_Bewertung!$E$34</f>
        <v>2422676.7810009</v>
      </c>
      <c r="E32" s="11" t="n">
        <f aca="false">13_Bewertung!$F$34</f>
        <v>2062500.86385077</v>
      </c>
      <c r="F32" s="11" t="n">
        <f aca="false">13_Bewertung!$G$34</f>
        <v>59652999.5250226</v>
      </c>
      <c r="G32" s="14" t="n">
        <f aca="false">13_Bewertung!$H$34</f>
        <v>0.0406128241713087</v>
      </c>
    </row>
    <row r="33" customFormat="false" ht="15" hidden="false" customHeight="false" outlineLevel="0" collapsed="false">
      <c r="B33" s="20" t="s">
        <v>49</v>
      </c>
      <c r="C33" s="21" t="n">
        <f aca="false">13_Bewertung!$D$35</f>
        <v>22228.0096</v>
      </c>
      <c r="D33" s="21" t="n">
        <f aca="false">13_Bewertung!$E$35</f>
        <v>8254797.15683932</v>
      </c>
      <c r="E33" s="21" t="n">
        <f aca="false">13_Bewertung!$F$35</f>
        <v>6632650.29775532</v>
      </c>
      <c r="F33" s="21" t="n">
        <f aca="false">13_Bewertung!$G$35</f>
        <v>162272318.762024</v>
      </c>
      <c r="G33" s="22" t="n">
        <f aca="false">13_Bewertung!$H$35</f>
        <v>0.050870026507387</v>
      </c>
    </row>
    <row r="35" customFormat="false" ht="15" hidden="false" customHeight="false" outlineLevel="0" collapsed="false">
      <c r="B35" s="5" t="s">
        <v>50</v>
      </c>
    </row>
    <row r="36" customFormat="false" ht="19.5" hidden="false" customHeight="true" outlineLevel="0" collapsed="false">
      <c r="B36" s="6" t="s">
        <v>51</v>
      </c>
      <c r="C36" s="7" t="s">
        <v>52</v>
      </c>
      <c r="D36" s="7" t="s">
        <v>53</v>
      </c>
      <c r="E36" s="7" t="s">
        <v>43</v>
      </c>
      <c r="F36" s="7" t="s">
        <v>54</v>
      </c>
    </row>
    <row r="37" customFormat="false" ht="15" hidden="false" customHeight="false" outlineLevel="0" collapsed="false">
      <c r="B37" s="8" t="s">
        <v>55</v>
      </c>
      <c r="C37" s="11" t="n">
        <f aca="false">12_Ertragsrechnung!$H$11</f>
        <v>715029.140396318</v>
      </c>
      <c r="D37" s="11" t="n">
        <f aca="false">12_Ertragsrechnung!$N$11</f>
        <v>593474.186528944</v>
      </c>
      <c r="E37" s="11" t="n">
        <f aca="false">13_Bewertung!$G$12</f>
        <v>15617741.7507617</v>
      </c>
      <c r="F37" s="14" t="n">
        <f aca="false">13_Bewertung!$F$12</f>
        <v>0.038</v>
      </c>
    </row>
    <row r="38" customFormat="false" ht="15" hidden="false" customHeight="false" outlineLevel="0" collapsed="false">
      <c r="B38" s="8" t="s">
        <v>56</v>
      </c>
      <c r="C38" s="11" t="n">
        <f aca="false">12_Ertragsrechnung!$H$12</f>
        <v>204153.831311441</v>
      </c>
      <c r="D38" s="11" t="n">
        <f aca="false">12_Ertragsrechnung!$N$12</f>
        <v>177613.833240954</v>
      </c>
      <c r="E38" s="11" t="n">
        <f aca="false">13_Bewertung!$G$13</f>
        <v>3171675.59358846</v>
      </c>
      <c r="F38" s="14" t="n">
        <f aca="false">13_Bewertung!$F$13</f>
        <v>0.056</v>
      </c>
    </row>
    <row r="39" customFormat="false" ht="15" hidden="false" customHeight="false" outlineLevel="0" collapsed="false">
      <c r="B39" s="8" t="s">
        <v>57</v>
      </c>
      <c r="C39" s="11" t="n">
        <f aca="false">12_Ertragsrechnung!$H$13</f>
        <v>580000</v>
      </c>
      <c r="D39" s="11" t="n">
        <f aca="false">12_Ertragsrechnung!$N$13</f>
        <v>319000</v>
      </c>
      <c r="E39" s="11" t="n">
        <f aca="false">13_Bewertung!$G$14</f>
        <v>4833333.33333333</v>
      </c>
      <c r="F39" s="14" t="n">
        <f aca="false">13_Bewertung!$F$14</f>
        <v>0.066</v>
      </c>
    </row>
    <row r="40" customFormat="false" ht="15" hidden="false" customHeight="false" outlineLevel="0" collapsed="false">
      <c r="B40" s="8" t="s">
        <v>58</v>
      </c>
      <c r="C40" s="11" t="n">
        <f aca="false">12_Ertragsrechnung!$H$14</f>
        <v>385680</v>
      </c>
      <c r="D40" s="11" t="n">
        <f aca="false">12_Ertragsrechnung!$N$14</f>
        <v>296973.6</v>
      </c>
      <c r="E40" s="11" t="n">
        <f aca="false">13_Bewertung!$G$15</f>
        <v>5939472</v>
      </c>
      <c r="F40" s="14" t="n">
        <f aca="false">13_Bewertung!$F$15</f>
        <v>0.05</v>
      </c>
    </row>
    <row r="41" customFormat="false" ht="15" hidden="false" customHeight="false" outlineLevel="0" collapsed="false">
      <c r="B41" s="20" t="s">
        <v>59</v>
      </c>
      <c r="C41" s="23" t="n">
        <f aca="false">SUM(C37:C40)</f>
        <v>1884862.97170776</v>
      </c>
      <c r="D41" s="23" t="n">
        <f aca="false">SUM(D37:D40)</f>
        <v>1387061.6197699</v>
      </c>
      <c r="E41" s="23" t="n">
        <f aca="false">SUM(E37:E40)</f>
        <v>29562222.6776835</v>
      </c>
      <c r="F41" s="20"/>
    </row>
    <row r="44" customFormat="false" ht="15" hidden="false" customHeight="false" outlineLevel="0" collapsed="false">
      <c r="B44" s="5" t="s">
        <v>60</v>
      </c>
    </row>
    <row r="45" customFormat="false" ht="15" hidden="false" customHeight="true" outlineLevel="0" collapsed="false">
      <c r="B45" s="24" t="s">
        <v>61</v>
      </c>
      <c r="C45" s="25" t="s">
        <v>62</v>
      </c>
      <c r="D45" s="25"/>
      <c r="E45" s="25"/>
      <c r="F45" s="25"/>
      <c r="G45" s="25"/>
    </row>
    <row r="46" customFormat="false" ht="15" hidden="false" customHeight="false" outlineLevel="0" collapsed="false">
      <c r="C46" s="25"/>
      <c r="D46" s="25"/>
      <c r="E46" s="25"/>
      <c r="F46" s="25"/>
      <c r="G46" s="25"/>
    </row>
    <row r="47" customFormat="false" ht="15" hidden="false" customHeight="false" outlineLevel="0" collapsed="false">
      <c r="C47" s="25"/>
      <c r="D47" s="25"/>
      <c r="E47" s="25"/>
      <c r="F47" s="25"/>
      <c r="G47" s="25"/>
    </row>
    <row r="48" customFormat="false" ht="15" hidden="false" customHeight="true" outlineLevel="0" collapsed="false">
      <c r="B48" s="24" t="s">
        <v>63</v>
      </c>
      <c r="C48" s="25" t="s">
        <v>64</v>
      </c>
      <c r="D48" s="25"/>
      <c r="E48" s="25"/>
      <c r="F48" s="25"/>
      <c r="G48" s="25"/>
    </row>
    <row r="49" customFormat="false" ht="15" hidden="false" customHeight="false" outlineLevel="0" collapsed="false">
      <c r="C49" s="25"/>
      <c r="D49" s="25"/>
      <c r="E49" s="25"/>
      <c r="F49" s="25"/>
      <c r="G49" s="25"/>
    </row>
    <row r="50" customFormat="false" ht="15" hidden="false" customHeight="false" outlineLevel="0" collapsed="false">
      <c r="C50" s="25"/>
      <c r="D50" s="25"/>
      <c r="E50" s="25"/>
      <c r="F50" s="25"/>
      <c r="G50" s="25"/>
    </row>
    <row r="51" customFormat="false" ht="15" hidden="false" customHeight="true" outlineLevel="0" collapsed="false">
      <c r="B51" s="24" t="s">
        <v>65</v>
      </c>
      <c r="C51" s="25" t="s">
        <v>66</v>
      </c>
      <c r="D51" s="25"/>
      <c r="E51" s="25"/>
      <c r="F51" s="25"/>
      <c r="G51" s="25"/>
    </row>
    <row r="52" customFormat="false" ht="15" hidden="false" customHeight="false" outlineLevel="0" collapsed="false">
      <c r="C52" s="25"/>
      <c r="D52" s="25"/>
      <c r="E52" s="25"/>
      <c r="F52" s="25"/>
      <c r="G52" s="25"/>
    </row>
    <row r="53" customFormat="false" ht="15" hidden="false" customHeight="false" outlineLevel="0" collapsed="false">
      <c r="C53" s="25"/>
      <c r="D53" s="25"/>
      <c r="E53" s="25"/>
      <c r="F53" s="25"/>
      <c r="G53" s="25"/>
    </row>
    <row r="54" customFormat="false" ht="15" hidden="false" customHeight="true" outlineLevel="0" collapsed="false">
      <c r="B54" s="24" t="s">
        <v>67</v>
      </c>
      <c r="C54" s="25" t="s">
        <v>68</v>
      </c>
      <c r="D54" s="25"/>
      <c r="E54" s="25"/>
      <c r="F54" s="25"/>
      <c r="G54" s="25"/>
    </row>
    <row r="55" customFormat="false" ht="15" hidden="false" customHeight="false" outlineLevel="0" collapsed="false">
      <c r="C55" s="25"/>
      <c r="D55" s="25"/>
      <c r="E55" s="25"/>
      <c r="F55" s="25"/>
      <c r="G55" s="25"/>
    </row>
    <row r="56" customFormat="false" ht="15" hidden="false" customHeight="false" outlineLevel="0" collapsed="false">
      <c r="C56" s="25"/>
      <c r="D56" s="25"/>
      <c r="E56" s="25"/>
      <c r="F56" s="25"/>
      <c r="G56" s="25"/>
    </row>
    <row r="58" customFormat="false" ht="15" hidden="false" customHeight="false" outlineLevel="0" collapsed="false">
      <c r="B58" s="4" t="s">
        <v>69</v>
      </c>
    </row>
  </sheetData>
  <mergeCells count="4">
    <mergeCell ref="C45:G47"/>
    <mergeCell ref="C48:G50"/>
    <mergeCell ref="C51:G53"/>
    <mergeCell ref="C54:G56"/>
  </mergeCell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T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4" ySplit="5" topLeftCell="E6" activePane="bottomRight" state="frozen"/>
      <selection pane="topLeft" activeCell="A1" activeCellId="0" sqref="A1"/>
      <selection pane="topRight" activeCell="E1" activeCellId="0" sqref="E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5"/>
    <col collapsed="false" customWidth="true" hidden="false" outlineLevel="0" max="3" min="3" style="0" width="8"/>
    <col collapsed="false" customWidth="true" hidden="false" outlineLevel="0" max="4" min="4" style="0" width="20"/>
    <col collapsed="false" customWidth="true" hidden="false" outlineLevel="0" max="20" min="5" style="0" width="11"/>
  </cols>
  <sheetData>
    <row r="2" customFormat="false" ht="19.7" hidden="false" customHeight="false" outlineLevel="0" collapsed="false">
      <c r="B2" s="26" t="s">
        <v>70</v>
      </c>
    </row>
    <row r="3" customFormat="false" ht="15" hidden="false" customHeight="false" outlineLevel="0" collapsed="false">
      <c r="B3" s="4" t="s">
        <v>71</v>
      </c>
    </row>
    <row r="5" customFormat="false" ht="42" hidden="false" customHeight="true" outlineLevel="0" collapsed="false">
      <c r="B5" s="6" t="s">
        <v>72</v>
      </c>
      <c r="C5" s="6" t="s">
        <v>73</v>
      </c>
      <c r="D5" s="6" t="s">
        <v>74</v>
      </c>
      <c r="E5" s="7" t="s">
        <v>75</v>
      </c>
      <c r="F5" s="7" t="s">
        <v>76</v>
      </c>
      <c r="G5" s="7" t="s">
        <v>77</v>
      </c>
      <c r="H5" s="7" t="s">
        <v>78</v>
      </c>
      <c r="I5" s="7" t="s">
        <v>79</v>
      </c>
      <c r="J5" s="7" t="s">
        <v>80</v>
      </c>
      <c r="K5" s="7" t="s">
        <v>81</v>
      </c>
      <c r="L5" s="7" t="s">
        <v>82</v>
      </c>
      <c r="M5" s="7" t="s">
        <v>83</v>
      </c>
      <c r="N5" s="7" t="s">
        <v>84</v>
      </c>
      <c r="O5" s="7" t="s">
        <v>85</v>
      </c>
      <c r="P5" s="7" t="s">
        <v>86</v>
      </c>
      <c r="Q5" s="7" t="s">
        <v>87</v>
      </c>
      <c r="R5" s="7" t="s">
        <v>88</v>
      </c>
      <c r="S5" s="7" t="s">
        <v>89</v>
      </c>
      <c r="T5" s="7" t="s">
        <v>90</v>
      </c>
    </row>
    <row r="6" customFormat="false" ht="15" hidden="false" customHeight="false" outlineLevel="0" collapsed="false">
      <c r="B6" s="8" t="n">
        <v>1</v>
      </c>
      <c r="C6" s="8" t="s">
        <v>91</v>
      </c>
      <c r="D6" s="8" t="s">
        <v>92</v>
      </c>
      <c r="E6" s="27" t="n">
        <v>5324</v>
      </c>
      <c r="F6" s="27" t="n">
        <v>0</v>
      </c>
      <c r="G6" s="28" t="n">
        <f aca="false">E6+F6</f>
        <v>5324</v>
      </c>
      <c r="H6" s="27" t="n">
        <v>3614</v>
      </c>
      <c r="I6" s="27" t="n">
        <v>0</v>
      </c>
      <c r="J6" s="28" t="n">
        <f aca="false">H6+I6</f>
        <v>3614</v>
      </c>
      <c r="K6" s="27" t="n">
        <v>19115</v>
      </c>
      <c r="L6" s="27" t="n">
        <v>3494</v>
      </c>
      <c r="M6" s="27" t="n">
        <v>12246</v>
      </c>
      <c r="N6" s="28" t="n">
        <f aca="false">G6+L6</f>
        <v>8818</v>
      </c>
      <c r="O6" s="28" t="n">
        <f aca="false">K6+M6</f>
        <v>31361</v>
      </c>
      <c r="P6" s="27" t="n">
        <v>6</v>
      </c>
      <c r="Q6" s="27" t="n">
        <v>55</v>
      </c>
      <c r="R6" s="28" t="n">
        <f aca="false">P6+Q6</f>
        <v>61</v>
      </c>
      <c r="S6" s="11" t="n">
        <f aca="false">SUMIFS(02_Flächenspiegel!$K$19:$K$200,02_Flächenspiegel!$B$19:$B$200,D6,02_Flächenspiegel!$D$19:$D$200,"Wohnen")</f>
        <v>24</v>
      </c>
      <c r="T6" s="11" t="n">
        <f aca="false">SUMIFS(02_Flächenspiegel!$K$19:$K$200,02_Flächenspiegel!$B$19:$B$200,D6,02_Flächenspiegel!$D$19:$D$200,"&lt;&gt;Wohnen")</f>
        <v>0</v>
      </c>
    </row>
    <row r="7" customFormat="false" ht="15" hidden="false" customHeight="false" outlineLevel="0" collapsed="false">
      <c r="B7" s="8" t="n">
        <v>2</v>
      </c>
      <c r="C7" s="8" t="s">
        <v>93</v>
      </c>
      <c r="D7" s="8" t="s">
        <v>94</v>
      </c>
      <c r="E7" s="27" t="n">
        <v>1009</v>
      </c>
      <c r="F7" s="27" t="n">
        <v>0</v>
      </c>
      <c r="G7" s="28" t="n">
        <f aca="false">E7+F7</f>
        <v>1009</v>
      </c>
      <c r="H7" s="27" t="n">
        <v>801</v>
      </c>
      <c r="I7" s="27" t="n">
        <v>0</v>
      </c>
      <c r="J7" s="28" t="n">
        <f aca="false">H7+I7</f>
        <v>801</v>
      </c>
      <c r="K7" s="27" t="n">
        <v>3064</v>
      </c>
      <c r="L7" s="27" t="n">
        <v>373</v>
      </c>
      <c r="M7" s="27" t="n">
        <v>1230</v>
      </c>
      <c r="N7" s="28" t="n">
        <f aca="false">G7+L7</f>
        <v>1382</v>
      </c>
      <c r="O7" s="28" t="n">
        <f aca="false">K7+M7</f>
        <v>4294</v>
      </c>
      <c r="P7" s="27" t="n">
        <v>14</v>
      </c>
      <c r="Q7" s="27" t="n">
        <v>0</v>
      </c>
      <c r="R7" s="28" t="n">
        <f aca="false">P7+Q7</f>
        <v>14</v>
      </c>
      <c r="S7" s="11" t="n">
        <f aca="false">SUMIFS(02_Flächenspiegel!$K$19:$K$200,02_Flächenspiegel!$B$19:$B$200,D7,02_Flächenspiegel!$D$19:$D$200,"Wohnen")</f>
        <v>13</v>
      </c>
      <c r="T7" s="11" t="n">
        <f aca="false">SUMIFS(02_Flächenspiegel!$K$19:$K$200,02_Flächenspiegel!$B$19:$B$200,D7,02_Flächenspiegel!$D$19:$D$200,"&lt;&gt;Wohnen")</f>
        <v>0</v>
      </c>
    </row>
    <row r="8" customFormat="false" ht="15" hidden="false" customHeight="false" outlineLevel="0" collapsed="false">
      <c r="B8" s="8" t="n">
        <v>3</v>
      </c>
      <c r="C8" s="8" t="s">
        <v>95</v>
      </c>
      <c r="D8" s="8" t="s">
        <v>96</v>
      </c>
      <c r="E8" s="27" t="n">
        <v>10785</v>
      </c>
      <c r="F8" s="27" t="n">
        <v>0</v>
      </c>
      <c r="G8" s="28" t="n">
        <f aca="false">E8+F8</f>
        <v>10785</v>
      </c>
      <c r="H8" s="27" t="n">
        <v>7249</v>
      </c>
      <c r="I8" s="27" t="n">
        <v>0</v>
      </c>
      <c r="J8" s="28" t="n">
        <f aca="false">H8+I8</f>
        <v>7249</v>
      </c>
      <c r="K8" s="27" t="n">
        <v>36949</v>
      </c>
      <c r="L8" s="27" t="n">
        <v>4870</v>
      </c>
      <c r="M8" s="28" t="n">
        <f aca="false">L8*3.2</f>
        <v>15584</v>
      </c>
      <c r="N8" s="28" t="n">
        <f aca="false">G8+L8</f>
        <v>15655</v>
      </c>
      <c r="O8" s="28" t="n">
        <f aca="false">K8+M8</f>
        <v>52533</v>
      </c>
      <c r="P8" s="27" t="n">
        <v>0</v>
      </c>
      <c r="Q8" s="27" t="n">
        <v>80</v>
      </c>
      <c r="R8" s="28" t="n">
        <f aca="false">P8+Q8</f>
        <v>80</v>
      </c>
      <c r="S8" s="11" t="n">
        <f aca="false">SUMIFS(02_Flächenspiegel!$K$19:$K$200,02_Flächenspiegel!$B$19:$B$200,D8,02_Flächenspiegel!$D$19:$D$200,"Wohnen")</f>
        <v>48</v>
      </c>
      <c r="T8" s="11" t="n">
        <f aca="false">SUMIFS(02_Flächenspiegel!$K$19:$K$200,02_Flächenspiegel!$B$19:$B$200,D8,02_Flächenspiegel!$D$19:$D$200,"&lt;&gt;Wohnen")</f>
        <v>0</v>
      </c>
    </row>
    <row r="9" customFormat="false" ht="15" hidden="false" customHeight="false" outlineLevel="0" collapsed="false">
      <c r="B9" s="29" t="n">
        <v>4</v>
      </c>
      <c r="C9" s="29" t="s">
        <v>93</v>
      </c>
      <c r="D9" s="30" t="s">
        <v>97</v>
      </c>
      <c r="E9" s="31" t="n">
        <v>2167.815</v>
      </c>
      <c r="F9" s="31" t="n">
        <v>2903.215</v>
      </c>
      <c r="G9" s="32" t="n">
        <f aca="false">E9+F9</f>
        <v>5071.03</v>
      </c>
      <c r="H9" s="31" t="n">
        <v>1775.93</v>
      </c>
      <c r="I9" s="31" t="n">
        <v>2345.42</v>
      </c>
      <c r="J9" s="32" t="n">
        <f aca="false">H9+I9</f>
        <v>4121.35</v>
      </c>
      <c r="K9" s="31" t="n">
        <f aca="false">6523.34+11295.55</f>
        <v>17818.89</v>
      </c>
      <c r="L9" s="31" t="n">
        <v>3947.76</v>
      </c>
      <c r="M9" s="31" t="n">
        <v>17764</v>
      </c>
      <c r="N9" s="32" t="n">
        <f aca="false">G9+L9</f>
        <v>9018.79</v>
      </c>
      <c r="O9" s="32" t="n">
        <f aca="false">K9+M9</f>
        <v>35582.89</v>
      </c>
      <c r="P9" s="31" t="n">
        <v>0</v>
      </c>
      <c r="Q9" s="31" t="n">
        <v>101</v>
      </c>
      <c r="R9" s="32" t="n">
        <f aca="false">P9+Q9</f>
        <v>101</v>
      </c>
      <c r="S9" s="33" t="n">
        <f aca="false">SUMIFS(02_Flächenspiegel!$K$19:$K$200,02_Flächenspiegel!$B$19:$B$200,D9,02_Flächenspiegel!$D$19:$D$200,"Wohnen")</f>
        <v>35</v>
      </c>
      <c r="T9" s="33" t="n">
        <f aca="false">SUMIFS(02_Flächenspiegel!$K$19:$K$200,02_Flächenspiegel!$B$19:$B$200,D9,02_Flächenspiegel!$D$19:$D$200,"&lt;&gt;Wohnen")</f>
        <v>2</v>
      </c>
    </row>
    <row r="10" customFormat="false" ht="15" hidden="false" customHeight="false" outlineLevel="0" collapsed="false">
      <c r="B10" s="8" t="n">
        <v>5</v>
      </c>
      <c r="C10" s="8" t="s">
        <v>98</v>
      </c>
      <c r="D10" s="8" t="s">
        <v>99</v>
      </c>
      <c r="E10" s="27" t="n">
        <v>0</v>
      </c>
      <c r="F10" s="27" t="n">
        <v>5099</v>
      </c>
      <c r="G10" s="28" t="n">
        <f aca="false">E10+F10</f>
        <v>5099</v>
      </c>
      <c r="H10" s="27" t="n">
        <v>0</v>
      </c>
      <c r="I10" s="27" t="n">
        <v>3903</v>
      </c>
      <c r="J10" s="28" t="n">
        <f aca="false">H10+I10</f>
        <v>3903</v>
      </c>
      <c r="K10" s="27" t="n">
        <v>23000</v>
      </c>
      <c r="L10" s="27" t="n">
        <v>1773</v>
      </c>
      <c r="M10" s="27" t="n">
        <v>6278</v>
      </c>
      <c r="N10" s="28" t="n">
        <f aca="false">G10+L10</f>
        <v>6872</v>
      </c>
      <c r="O10" s="28" t="n">
        <f aca="false">K10+M10</f>
        <v>29278</v>
      </c>
      <c r="P10" s="27" t="n">
        <v>24</v>
      </c>
      <c r="Q10" s="27" t="n">
        <v>30</v>
      </c>
      <c r="R10" s="28" t="n">
        <f aca="false">P10+Q10</f>
        <v>54</v>
      </c>
      <c r="S10" s="11" t="n">
        <f aca="false">SUMIFS(02_Flächenspiegel!$K$19:$K$200,02_Flächenspiegel!$B$19:$B$200,D10,02_Flächenspiegel!$D$19:$D$200,"Wohnen")</f>
        <v>36</v>
      </c>
      <c r="T10" s="11" t="n">
        <f aca="false">SUMIFS(02_Flächenspiegel!$K$19:$K$200,02_Flächenspiegel!$B$19:$B$200,D10,02_Flächenspiegel!$D$19:$D$200,"&lt;&gt;Wohnen")</f>
        <v>36</v>
      </c>
    </row>
    <row r="11" customFormat="false" ht="15" hidden="false" customHeight="false" outlineLevel="0" collapsed="false">
      <c r="B11" s="8" t="n">
        <v>6</v>
      </c>
      <c r="C11" s="8" t="s">
        <v>98</v>
      </c>
      <c r="D11" s="8" t="s">
        <v>100</v>
      </c>
      <c r="E11" s="27" t="n">
        <v>0</v>
      </c>
      <c r="F11" s="27" t="n">
        <v>3482</v>
      </c>
      <c r="G11" s="28" t="n">
        <f aca="false">E11+F11</f>
        <v>3482</v>
      </c>
      <c r="H11" s="27" t="n">
        <v>0</v>
      </c>
      <c r="I11" s="27" t="n">
        <v>2540</v>
      </c>
      <c r="J11" s="28" t="n">
        <f aca="false">H11+I11</f>
        <v>2540</v>
      </c>
      <c r="K11" s="27" t="n">
        <v>15620</v>
      </c>
      <c r="L11" s="27" t="n">
        <v>1188</v>
      </c>
      <c r="M11" s="27" t="n">
        <v>4204</v>
      </c>
      <c r="N11" s="28" t="n">
        <f aca="false">G11+L11</f>
        <v>4670</v>
      </c>
      <c r="O11" s="28" t="n">
        <f aca="false">K11+M11</f>
        <v>19824</v>
      </c>
      <c r="P11" s="27" t="n">
        <v>13</v>
      </c>
      <c r="Q11" s="27" t="n">
        <v>18</v>
      </c>
      <c r="R11" s="28" t="n">
        <f aca="false">P11+Q11</f>
        <v>31</v>
      </c>
      <c r="S11" s="11" t="n">
        <f aca="false">SUMIFS(02_Flächenspiegel!$K$19:$K$200,02_Flächenspiegel!$B$19:$B$200,D11,02_Flächenspiegel!$D$19:$D$200,"Wohnen")</f>
        <v>22</v>
      </c>
      <c r="T11" s="11" t="n">
        <f aca="false">SUMIFS(02_Flächenspiegel!$K$19:$K$200,02_Flächenspiegel!$B$19:$B$200,D11,02_Flächenspiegel!$D$19:$D$200,"&lt;&gt;Wohnen")</f>
        <v>24</v>
      </c>
    </row>
    <row r="12" customFormat="false" ht="15" hidden="false" customHeight="false" outlineLevel="0" collapsed="false">
      <c r="B12" s="20"/>
      <c r="C12" s="20"/>
      <c r="D12" s="20" t="s">
        <v>101</v>
      </c>
      <c r="E12" s="23" t="n">
        <f aca="false">SUM(E6:E11)</f>
        <v>19285.815</v>
      </c>
      <c r="F12" s="23" t="n">
        <f aca="false">SUM(F6:F11)</f>
        <v>11484.215</v>
      </c>
      <c r="G12" s="23" t="n">
        <f aca="false">SUM(G6:G11)</f>
        <v>30770.03</v>
      </c>
      <c r="H12" s="23" t="n">
        <f aca="false">SUM(H6:H11)</f>
        <v>13439.93</v>
      </c>
      <c r="I12" s="23" t="n">
        <f aca="false">SUM(I6:I11)</f>
        <v>8788.42</v>
      </c>
      <c r="J12" s="23" t="n">
        <f aca="false">SUM(J6:J11)</f>
        <v>22228.35</v>
      </c>
      <c r="K12" s="23" t="n">
        <f aca="false">SUM(K6:K11)</f>
        <v>115566.89</v>
      </c>
      <c r="L12" s="23" t="n">
        <f aca="false">SUM(L6:L11)</f>
        <v>15645.76</v>
      </c>
      <c r="M12" s="23" t="n">
        <f aca="false">SUM(M6:M11)</f>
        <v>57306</v>
      </c>
      <c r="N12" s="23" t="n">
        <f aca="false">SUM(N6:N11)</f>
        <v>46415.79</v>
      </c>
      <c r="O12" s="23" t="n">
        <f aca="false">SUM(O6:O11)</f>
        <v>172872.89</v>
      </c>
      <c r="P12" s="23" t="n">
        <f aca="false">SUM(P6:P11)</f>
        <v>57</v>
      </c>
      <c r="Q12" s="23" t="n">
        <f aca="false">SUM(Q6:Q11)</f>
        <v>284</v>
      </c>
      <c r="R12" s="23" t="n">
        <f aca="false">SUM(R6:R11)</f>
        <v>341</v>
      </c>
      <c r="S12" s="23" t="n">
        <f aca="false">SUM(S6:S11)</f>
        <v>178</v>
      </c>
      <c r="T12" s="23" t="n">
        <f aca="false">SUM(T6:T11)</f>
        <v>62</v>
      </c>
    </row>
    <row r="14" customFormat="false" ht="15" hidden="false" customHeight="false" outlineLevel="0" collapsed="false">
      <c r="B14" s="5" t="s">
        <v>102</v>
      </c>
    </row>
    <row r="15" customFormat="false" ht="19.5" hidden="false" customHeight="true" outlineLevel="0" collapsed="false">
      <c r="B15" s="6" t="s">
        <v>103</v>
      </c>
      <c r="C15" s="7"/>
      <c r="D15" s="7"/>
      <c r="E15" s="7" t="s">
        <v>104</v>
      </c>
      <c r="F15" s="7" t="s">
        <v>105</v>
      </c>
    </row>
    <row r="16" customFormat="false" ht="15" hidden="false" customHeight="false" outlineLevel="0" collapsed="false">
      <c r="B16" s="8" t="s">
        <v>106</v>
      </c>
      <c r="E16" s="34" t="n">
        <f aca="false">E12/G12</f>
        <v>0.626772707078934</v>
      </c>
      <c r="F16" s="34" t="n">
        <f aca="false">H12/J12</f>
        <v>0.604630123243516</v>
      </c>
    </row>
    <row r="17" customFormat="false" ht="15" hidden="false" customHeight="false" outlineLevel="0" collapsed="false">
      <c r="B17" s="8" t="s">
        <v>107</v>
      </c>
      <c r="E17" s="34" t="n">
        <f aca="false">F12/G12</f>
        <v>0.373227292921066</v>
      </c>
      <c r="F17" s="34" t="n">
        <f aca="false">I12/J12</f>
        <v>0.395369876756484</v>
      </c>
    </row>
    <row r="19" customFormat="false" ht="15" hidden="false" customHeight="false" outlineLevel="0" collapsed="false">
      <c r="B19" s="4" t="s">
        <v>108</v>
      </c>
    </row>
    <row r="20" customFormat="false" ht="15" hidden="false" customHeight="false" outlineLevel="0" collapsed="false">
      <c r="B20" s="4" t="s">
        <v>109</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K7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18"/>
    <col collapsed="false" customWidth="true" hidden="false" outlineLevel="0" max="3" min="3" style="0" width="9"/>
    <col collapsed="false" customWidth="true" hidden="false" outlineLevel="0" max="4" min="4" style="0" width="10"/>
    <col collapsed="false" customWidth="true" hidden="false" outlineLevel="0" max="5" min="5" style="0" width="30"/>
    <col collapsed="false" customWidth="true" hidden="false" outlineLevel="0" max="8" min="6" style="0" width="13"/>
    <col collapsed="false" customWidth="true" hidden="false" outlineLevel="0" max="9" min="9" style="0" width="11"/>
    <col collapsed="false" customWidth="true" hidden="false" outlineLevel="0" max="10" min="10" style="0" width="13"/>
    <col collapsed="false" customWidth="true" hidden="false" outlineLevel="0" max="11" min="11" style="0" width="12"/>
  </cols>
  <sheetData>
    <row r="2" customFormat="false" ht="19.7" hidden="false" customHeight="false" outlineLevel="0" collapsed="false">
      <c r="B2" s="26" t="s">
        <v>110</v>
      </c>
    </row>
    <row r="3" customFormat="false" ht="15" hidden="false" customHeight="false" outlineLevel="0" collapsed="false">
      <c r="B3" s="4" t="s">
        <v>111</v>
      </c>
    </row>
    <row r="5" customFormat="false" ht="31.5" hidden="false" customHeight="true" outlineLevel="0" collapsed="false">
      <c r="B5" s="6" t="s">
        <v>74</v>
      </c>
      <c r="C5" s="7"/>
      <c r="D5" s="7"/>
      <c r="E5" s="7" t="s">
        <v>79</v>
      </c>
      <c r="F5" s="7" t="s">
        <v>112</v>
      </c>
      <c r="G5" s="7" t="s">
        <v>78</v>
      </c>
      <c r="H5" s="7" t="s">
        <v>80</v>
      </c>
      <c r="I5" s="7" t="s">
        <v>113</v>
      </c>
      <c r="J5" s="7" t="s">
        <v>114</v>
      </c>
      <c r="K5" s="7" t="s">
        <v>115</v>
      </c>
    </row>
    <row r="6" customFormat="false" ht="15" hidden="false" customHeight="false" outlineLevel="0" collapsed="false">
      <c r="B6" s="8" t="s">
        <v>92</v>
      </c>
      <c r="E6" s="35" t="n">
        <f aca="false">SUMIFS($J$19:$J$200,$B$19:$B$200,$B6,$D$19:$D$200,"Gewerbe")</f>
        <v>0</v>
      </c>
      <c r="F6" s="35" t="n">
        <f aca="false">SUMIFS($J$19:$J$200,$B$19:$B$200,$B6,$D$19:$D$200,"Büro")</f>
        <v>0</v>
      </c>
      <c r="G6" s="35" t="n">
        <f aca="false">SUMIFS($J$19:$J$200,$B$19:$B$200,$B6,$D$19:$D$200,"Wohnen")</f>
        <v>3614.4</v>
      </c>
      <c r="H6" s="35" t="n">
        <f aca="false">E6+F6+G6</f>
        <v>3614.4</v>
      </c>
      <c r="I6" s="28" t="n">
        <f aca="false">SUMIFS($K$19:$K$200,$B$19:$B$200,$B6)</f>
        <v>24</v>
      </c>
      <c r="J6" s="36" t="n">
        <f aca="false">INDEX(01_Kennwerte!$J:$J,MATCH($B6,01_Kennwerte!$D:$D,0))</f>
        <v>3614</v>
      </c>
      <c r="K6" s="35" t="n">
        <f aca="false">H6-J6</f>
        <v>0.400000000000091</v>
      </c>
    </row>
    <row r="7" customFormat="false" ht="15" hidden="false" customHeight="false" outlineLevel="0" collapsed="false">
      <c r="B7" s="8" t="s">
        <v>94</v>
      </c>
      <c r="E7" s="35" t="n">
        <f aca="false">SUMIFS($J$19:$J$200,$B$19:$B$200,$B7,$D$19:$D$200,"Gewerbe")</f>
        <v>0</v>
      </c>
      <c r="F7" s="35" t="n">
        <f aca="false">SUMIFS($J$19:$J$200,$B$19:$B$200,$B7,$D$19:$D$200,"Büro")</f>
        <v>0</v>
      </c>
      <c r="G7" s="35" t="n">
        <f aca="false">SUMIFS($J$19:$J$200,$B$19:$B$200,$B7,$D$19:$D$200,"Wohnen")</f>
        <v>800.86</v>
      </c>
      <c r="H7" s="35" t="n">
        <f aca="false">E7+F7+G7</f>
        <v>800.86</v>
      </c>
      <c r="I7" s="28" t="n">
        <f aca="false">SUMIFS($K$19:$K$200,$B$19:$B$200,$B7)</f>
        <v>13</v>
      </c>
      <c r="J7" s="36" t="n">
        <f aca="false">INDEX(01_Kennwerte!$J:$J,MATCH($B7,01_Kennwerte!$D:$D,0))</f>
        <v>801</v>
      </c>
      <c r="K7" s="35" t="n">
        <f aca="false">H7-J7</f>
        <v>-0.139999999999986</v>
      </c>
    </row>
    <row r="8" customFormat="false" ht="15" hidden="false" customHeight="false" outlineLevel="0" collapsed="false">
      <c r="B8" s="8" t="s">
        <v>96</v>
      </c>
      <c r="E8" s="35" t="n">
        <f aca="false">SUMIFS($J$19:$J$200,$B$19:$B$200,$B8,$D$19:$D$200,"Gewerbe")</f>
        <v>0</v>
      </c>
      <c r="F8" s="35" t="n">
        <f aca="false">SUMIFS($J$19:$J$200,$B$19:$B$200,$B8,$D$19:$D$200,"Büro")</f>
        <v>0</v>
      </c>
      <c r="G8" s="35" t="n">
        <f aca="false">SUMIFS($J$19:$J$200,$B$19:$B$200,$B8,$D$19:$D$200,"Wohnen")</f>
        <v>7249.2</v>
      </c>
      <c r="H8" s="35" t="n">
        <f aca="false">E8+F8+G8</f>
        <v>7249.2</v>
      </c>
      <c r="I8" s="28" t="n">
        <f aca="false">SUMIFS($K$19:$K$200,$B$19:$B$200,$B8)</f>
        <v>48</v>
      </c>
      <c r="J8" s="36" t="n">
        <f aca="false">INDEX(01_Kennwerte!$J:$J,MATCH($B8,01_Kennwerte!$D:$D,0))</f>
        <v>7249</v>
      </c>
      <c r="K8" s="35" t="n">
        <f aca="false">H8-J8</f>
        <v>0.199999999999818</v>
      </c>
    </row>
    <row r="9" customFormat="false" ht="15" hidden="false" customHeight="false" outlineLevel="0" collapsed="false">
      <c r="B9" s="12" t="s">
        <v>97</v>
      </c>
      <c r="E9" s="35" t="n">
        <f aca="false">SUMIFS($J$19:$J$200,$B$19:$B$200,$B9,$D$19:$D$200,"Gewerbe")</f>
        <v>2345.42</v>
      </c>
      <c r="F9" s="35" t="n">
        <f aca="false">SUMIFS($J$19:$J$200,$B$19:$B$200,$B9,$D$19:$D$200,"Büro")</f>
        <v>0</v>
      </c>
      <c r="G9" s="35" t="n">
        <f aca="false">SUMIFS($J$19:$J$200,$B$19:$B$200,$B9,$D$19:$D$200,"Wohnen")</f>
        <v>1775.3196</v>
      </c>
      <c r="H9" s="35" t="n">
        <f aca="false">E9+F9+G9</f>
        <v>4120.7396</v>
      </c>
      <c r="I9" s="28" t="n">
        <f aca="false">SUMIFS($K$19:$K$200,$B$19:$B$200,$B9)</f>
        <v>37</v>
      </c>
      <c r="J9" s="36" t="n">
        <f aca="false">INDEX(01_Kennwerte!$J:$J,MATCH($B9,01_Kennwerte!$D:$D,0))</f>
        <v>4121.35</v>
      </c>
      <c r="K9" s="35" t="n">
        <f aca="false">H9-J9</f>
        <v>-0.610400000000482</v>
      </c>
    </row>
    <row r="10" customFormat="false" ht="15" hidden="false" customHeight="false" outlineLevel="0" collapsed="false">
      <c r="B10" s="8" t="s">
        <v>99</v>
      </c>
      <c r="E10" s="35" t="n">
        <f aca="false">SUMIFS($J$19:$J$200,$B$19:$B$200,$B10,$D$19:$D$200,"Gewerbe")</f>
        <v>1590.37</v>
      </c>
      <c r="F10" s="35" t="n">
        <f aca="false">SUMIFS($J$19:$J$200,$B$19:$B$200,$B10,$D$19:$D$200,"Büro")</f>
        <v>1095.44</v>
      </c>
      <c r="G10" s="35" t="n">
        <f aca="false">SUMIFS($J$19:$J$200,$B$19:$B$200,$B10,$D$19:$D$200,"Wohnen")</f>
        <v>1216.72</v>
      </c>
      <c r="H10" s="35" t="n">
        <f aca="false">E10+F10+G10</f>
        <v>3902.53</v>
      </c>
      <c r="I10" s="28" t="n">
        <f aca="false">SUMIFS($K$19:$K$200,$B$19:$B$200,$B10)</f>
        <v>72</v>
      </c>
      <c r="J10" s="36" t="n">
        <f aca="false">INDEX(01_Kennwerte!$J:$J,MATCH($B10,01_Kennwerte!$D:$D,0))</f>
        <v>3903</v>
      </c>
      <c r="K10" s="35" t="n">
        <f aca="false">H10-J10</f>
        <v>-0.470000000000255</v>
      </c>
    </row>
    <row r="11" customFormat="false" ht="15" hidden="false" customHeight="false" outlineLevel="0" collapsed="false">
      <c r="B11" s="8" t="s">
        <v>100</v>
      </c>
      <c r="E11" s="35" t="n">
        <f aca="false">SUMIFS($J$19:$J$200,$B$19:$B$200,$B11,$D$19:$D$200,"Gewerbe")</f>
        <v>1020.12</v>
      </c>
      <c r="F11" s="35" t="n">
        <f aca="false">SUMIFS($J$19:$J$200,$B$19:$B$200,$B11,$D$19:$D$200,"Büro")</f>
        <v>718.92</v>
      </c>
      <c r="G11" s="35" t="n">
        <f aca="false">SUMIFS($J$19:$J$200,$B$19:$B$200,$B11,$D$19:$D$200,"Wohnen")</f>
        <v>801.24</v>
      </c>
      <c r="H11" s="35" t="n">
        <f aca="false">E11+F11+G11</f>
        <v>2540.28</v>
      </c>
      <c r="I11" s="28" t="n">
        <f aca="false">SUMIFS($K$19:$K$200,$B$19:$B$200,$B11)</f>
        <v>46</v>
      </c>
      <c r="J11" s="36" t="n">
        <f aca="false">INDEX(01_Kennwerte!$J:$J,MATCH($B11,01_Kennwerte!$D:$D,0))</f>
        <v>2540</v>
      </c>
      <c r="K11" s="35" t="n">
        <f aca="false">H11-J11</f>
        <v>0.279999999999745</v>
      </c>
    </row>
    <row r="12" customFormat="false" ht="15" hidden="false" customHeight="false" outlineLevel="0" collapsed="false">
      <c r="B12" s="20" t="s">
        <v>101</v>
      </c>
      <c r="C12" s="20"/>
      <c r="D12" s="20"/>
      <c r="E12" s="37" t="n">
        <f aca="false">SUM(E6:E11)</f>
        <v>4955.91</v>
      </c>
      <c r="F12" s="37" t="n">
        <f aca="false">SUM(F6:F11)</f>
        <v>1814.36</v>
      </c>
      <c r="G12" s="37" t="n">
        <f aca="false">SUM(G6:G11)</f>
        <v>15457.7396</v>
      </c>
      <c r="H12" s="37" t="n">
        <f aca="false">SUM(H6:H11)</f>
        <v>22228.0096</v>
      </c>
      <c r="I12" s="23" t="n">
        <f aca="false">SUM(I6:I11)</f>
        <v>240</v>
      </c>
      <c r="J12" s="37" t="n">
        <f aca="false">SUM(J6:J11)</f>
        <v>22228.35</v>
      </c>
      <c r="K12" s="37" t="n">
        <f aca="false">SUM(K6:K11)</f>
        <v>-0.340400000001068</v>
      </c>
    </row>
    <row r="13" customFormat="false" ht="15" hidden="false" customHeight="false" outlineLevel="0" collapsed="false">
      <c r="B13" s="4" t="s">
        <v>116</v>
      </c>
    </row>
    <row r="14" customFormat="false" ht="15" hidden="false" customHeight="false" outlineLevel="0" collapsed="false">
      <c r="B14" s="4" t="s">
        <v>117</v>
      </c>
    </row>
    <row r="15" customFormat="false" ht="15" hidden="false" customHeight="false" outlineLevel="0" collapsed="false">
      <c r="B15" s="4" t="s">
        <v>118</v>
      </c>
    </row>
    <row r="18" customFormat="false" ht="31.5" hidden="false" customHeight="true" outlineLevel="0" collapsed="false">
      <c r="B18" s="6" t="s">
        <v>74</v>
      </c>
      <c r="C18" s="6" t="s">
        <v>119</v>
      </c>
      <c r="D18" s="6" t="s">
        <v>103</v>
      </c>
      <c r="E18" s="6" t="s">
        <v>120</v>
      </c>
      <c r="F18" s="7" t="s">
        <v>121</v>
      </c>
      <c r="G18" s="7" t="s">
        <v>122</v>
      </c>
      <c r="H18" s="7" t="s">
        <v>123</v>
      </c>
      <c r="I18" s="7"/>
      <c r="J18" s="7" t="s">
        <v>80</v>
      </c>
      <c r="K18" s="7" t="s">
        <v>113</v>
      </c>
    </row>
    <row r="19" customFormat="false" ht="15" hidden="false" customHeight="false" outlineLevel="0" collapsed="false">
      <c r="B19" s="8" t="s">
        <v>100</v>
      </c>
      <c r="C19" s="8" t="s">
        <v>124</v>
      </c>
      <c r="D19" s="8" t="s">
        <v>107</v>
      </c>
      <c r="E19" s="8" t="s">
        <v>125</v>
      </c>
      <c r="F19" s="38" t="n">
        <v>511.77</v>
      </c>
      <c r="G19" s="27" t="n">
        <v>1</v>
      </c>
      <c r="H19" s="27" t="n">
        <v>1</v>
      </c>
      <c r="J19" s="35" t="n">
        <f aca="false">F19*G19</f>
        <v>511.77</v>
      </c>
      <c r="K19" s="28" t="n">
        <f aca="false">G19*H19</f>
        <v>1</v>
      </c>
    </row>
    <row r="20" customFormat="false" ht="15" hidden="false" customHeight="false" outlineLevel="0" collapsed="false">
      <c r="B20" s="8" t="s">
        <v>100</v>
      </c>
      <c r="C20" s="8" t="s">
        <v>124</v>
      </c>
      <c r="D20" s="8" t="s">
        <v>107</v>
      </c>
      <c r="E20" s="8" t="s">
        <v>126</v>
      </c>
      <c r="F20" s="38" t="n">
        <v>228.62</v>
      </c>
      <c r="G20" s="27" t="n">
        <v>1</v>
      </c>
      <c r="H20" s="27" t="n">
        <v>1</v>
      </c>
      <c r="J20" s="35" t="n">
        <f aca="false">F20*G20</f>
        <v>228.62</v>
      </c>
      <c r="K20" s="28" t="n">
        <f aca="false">G20*H20</f>
        <v>1</v>
      </c>
    </row>
    <row r="21" customFormat="false" ht="15" hidden="false" customHeight="false" outlineLevel="0" collapsed="false">
      <c r="B21" s="8" t="s">
        <v>100</v>
      </c>
      <c r="C21" s="8" t="s">
        <v>124</v>
      </c>
      <c r="D21" s="8" t="s">
        <v>107</v>
      </c>
      <c r="E21" s="8" t="s">
        <v>127</v>
      </c>
      <c r="F21" s="38" t="n">
        <v>166.33</v>
      </c>
      <c r="G21" s="27" t="n">
        <v>1</v>
      </c>
      <c r="H21" s="27" t="n">
        <v>1</v>
      </c>
      <c r="J21" s="35" t="n">
        <f aca="false">F21*G21</f>
        <v>166.33</v>
      </c>
      <c r="K21" s="28" t="n">
        <f aca="false">G21*H21</f>
        <v>1</v>
      </c>
    </row>
    <row r="22" customFormat="false" ht="15" hidden="false" customHeight="false" outlineLevel="0" collapsed="false">
      <c r="B22" s="8" t="s">
        <v>100</v>
      </c>
      <c r="C22" s="8" t="s">
        <v>124</v>
      </c>
      <c r="D22" s="8" t="s">
        <v>107</v>
      </c>
      <c r="E22" s="8" t="s">
        <v>128</v>
      </c>
      <c r="F22" s="38" t="n">
        <v>113.4</v>
      </c>
      <c r="G22" s="27" t="n">
        <v>1</v>
      </c>
      <c r="H22" s="27" t="n">
        <v>1</v>
      </c>
      <c r="J22" s="35" t="n">
        <f aca="false">F22*G22</f>
        <v>113.4</v>
      </c>
      <c r="K22" s="28" t="n">
        <f aca="false">G22*H22</f>
        <v>1</v>
      </c>
    </row>
    <row r="23" customFormat="false" ht="15" hidden="false" customHeight="false" outlineLevel="0" collapsed="false">
      <c r="B23" s="8" t="s">
        <v>100</v>
      </c>
      <c r="C23" s="8" t="s">
        <v>129</v>
      </c>
      <c r="D23" s="8" t="s">
        <v>130</v>
      </c>
      <c r="E23" s="8" t="s">
        <v>125</v>
      </c>
      <c r="F23" s="38" t="n">
        <v>43.05</v>
      </c>
      <c r="G23" s="27" t="n">
        <v>4</v>
      </c>
      <c r="H23" s="27" t="n">
        <v>1</v>
      </c>
      <c r="J23" s="35" t="n">
        <f aca="false">F23*G23</f>
        <v>172.2</v>
      </c>
      <c r="K23" s="28" t="n">
        <f aca="false">G23*H23</f>
        <v>4</v>
      </c>
    </row>
    <row r="24" customFormat="false" ht="15" hidden="false" customHeight="false" outlineLevel="0" collapsed="false">
      <c r="B24" s="8" t="s">
        <v>100</v>
      </c>
      <c r="C24" s="8" t="s">
        <v>129</v>
      </c>
      <c r="D24" s="8" t="s">
        <v>130</v>
      </c>
      <c r="E24" s="8" t="s">
        <v>126</v>
      </c>
      <c r="F24" s="38" t="n">
        <v>42.55</v>
      </c>
      <c r="G24" s="27" t="n">
        <v>4</v>
      </c>
      <c r="H24" s="27" t="n">
        <v>1</v>
      </c>
      <c r="J24" s="35" t="n">
        <f aca="false">F24*G24</f>
        <v>170.2</v>
      </c>
      <c r="K24" s="28" t="n">
        <f aca="false">G24*H24</f>
        <v>4</v>
      </c>
    </row>
    <row r="25" customFormat="false" ht="15" hidden="false" customHeight="false" outlineLevel="0" collapsed="false">
      <c r="B25" s="8" t="s">
        <v>100</v>
      </c>
      <c r="C25" s="8" t="s">
        <v>129</v>
      </c>
      <c r="D25" s="8" t="s">
        <v>130</v>
      </c>
      <c r="E25" s="8" t="s">
        <v>127</v>
      </c>
      <c r="F25" s="38" t="n">
        <v>41.95</v>
      </c>
      <c r="G25" s="27" t="n">
        <v>4</v>
      </c>
      <c r="H25" s="27" t="n">
        <v>1</v>
      </c>
      <c r="J25" s="35" t="n">
        <f aca="false">F25*G25</f>
        <v>167.8</v>
      </c>
      <c r="K25" s="28" t="n">
        <f aca="false">G25*H25</f>
        <v>4</v>
      </c>
    </row>
    <row r="26" customFormat="false" ht="15" hidden="false" customHeight="false" outlineLevel="0" collapsed="false">
      <c r="B26" s="8" t="s">
        <v>100</v>
      </c>
      <c r="C26" s="8" t="s">
        <v>129</v>
      </c>
      <c r="D26" s="8" t="s">
        <v>130</v>
      </c>
      <c r="E26" s="8" t="s">
        <v>128</v>
      </c>
      <c r="F26" s="38" t="n">
        <v>26.09</v>
      </c>
      <c r="G26" s="27" t="n">
        <v>8</v>
      </c>
      <c r="H26" s="27" t="n">
        <v>1</v>
      </c>
      <c r="J26" s="35" t="n">
        <f aca="false">F26*G26</f>
        <v>208.72</v>
      </c>
      <c r="K26" s="28" t="n">
        <f aca="false">G26*H26</f>
        <v>8</v>
      </c>
    </row>
    <row r="27" customFormat="false" ht="15" hidden="false" customHeight="false" outlineLevel="0" collapsed="false">
      <c r="B27" s="8" t="s">
        <v>100</v>
      </c>
      <c r="C27" s="8" t="s">
        <v>131</v>
      </c>
      <c r="D27" s="8" t="s">
        <v>106</v>
      </c>
      <c r="E27" s="8" t="s">
        <v>132</v>
      </c>
      <c r="F27" s="38" t="n">
        <v>53.56</v>
      </c>
      <c r="G27" s="27" t="n">
        <v>4</v>
      </c>
      <c r="H27" s="27" t="n">
        <v>1</v>
      </c>
      <c r="J27" s="35" t="n">
        <f aca="false">F27*G27</f>
        <v>214.24</v>
      </c>
      <c r="K27" s="28" t="n">
        <f aca="false">G27*H27</f>
        <v>4</v>
      </c>
    </row>
    <row r="28" customFormat="false" ht="15" hidden="false" customHeight="false" outlineLevel="0" collapsed="false">
      <c r="B28" s="8" t="s">
        <v>100</v>
      </c>
      <c r="C28" s="8" t="s">
        <v>131</v>
      </c>
      <c r="D28" s="8" t="s">
        <v>106</v>
      </c>
      <c r="E28" s="8" t="s">
        <v>133</v>
      </c>
      <c r="F28" s="38" t="n">
        <v>42.88</v>
      </c>
      <c r="G28" s="27" t="n">
        <v>4</v>
      </c>
      <c r="H28" s="27" t="n">
        <v>1</v>
      </c>
      <c r="J28" s="35" t="n">
        <f aca="false">F28*G28</f>
        <v>171.52</v>
      </c>
      <c r="K28" s="28" t="n">
        <f aca="false">G28*H28</f>
        <v>4</v>
      </c>
    </row>
    <row r="29" customFormat="false" ht="15" hidden="false" customHeight="false" outlineLevel="0" collapsed="false">
      <c r="B29" s="8" t="s">
        <v>100</v>
      </c>
      <c r="C29" s="8" t="s">
        <v>131</v>
      </c>
      <c r="D29" s="8" t="s">
        <v>106</v>
      </c>
      <c r="E29" s="8" t="s">
        <v>134</v>
      </c>
      <c r="F29" s="38" t="n">
        <v>25.92</v>
      </c>
      <c r="G29" s="27" t="n">
        <v>12</v>
      </c>
      <c r="H29" s="27" t="n">
        <v>1</v>
      </c>
      <c r="J29" s="35" t="n">
        <f aca="false">F29*G29</f>
        <v>311.04</v>
      </c>
      <c r="K29" s="28" t="n">
        <f aca="false">G29*H29</f>
        <v>12</v>
      </c>
    </row>
    <row r="30" customFormat="false" ht="15" hidden="false" customHeight="false" outlineLevel="0" collapsed="false">
      <c r="B30" s="8" t="s">
        <v>100</v>
      </c>
      <c r="C30" s="8" t="s">
        <v>131</v>
      </c>
      <c r="D30" s="8" t="s">
        <v>106</v>
      </c>
      <c r="E30" s="8" t="s">
        <v>135</v>
      </c>
      <c r="F30" s="38" t="n">
        <v>52.22</v>
      </c>
      <c r="G30" s="27" t="n">
        <v>2</v>
      </c>
      <c r="H30" s="27" t="n">
        <v>1</v>
      </c>
      <c r="J30" s="35" t="n">
        <f aca="false">F30*G30</f>
        <v>104.44</v>
      </c>
      <c r="K30" s="28" t="n">
        <f aca="false">G30*H30</f>
        <v>2</v>
      </c>
    </row>
    <row r="31" customFormat="false" ht="15" hidden="false" customHeight="false" outlineLevel="0" collapsed="false">
      <c r="B31" s="8" t="s">
        <v>99</v>
      </c>
      <c r="C31" s="8" t="s">
        <v>124</v>
      </c>
      <c r="D31" s="8" t="s">
        <v>107</v>
      </c>
      <c r="E31" s="8" t="s">
        <v>125</v>
      </c>
      <c r="F31" s="38" t="n">
        <v>511.77</v>
      </c>
      <c r="G31" s="27" t="n">
        <v>1</v>
      </c>
      <c r="H31" s="27" t="n">
        <v>1</v>
      </c>
      <c r="J31" s="35" t="n">
        <f aca="false">F31*G31</f>
        <v>511.77</v>
      </c>
      <c r="K31" s="28" t="n">
        <f aca="false">G31*H31</f>
        <v>1</v>
      </c>
    </row>
    <row r="32" customFormat="false" ht="15" hidden="false" customHeight="false" outlineLevel="0" collapsed="false">
      <c r="B32" s="8" t="s">
        <v>99</v>
      </c>
      <c r="C32" s="8" t="s">
        <v>124</v>
      </c>
      <c r="D32" s="8" t="s">
        <v>107</v>
      </c>
      <c r="E32" s="8" t="s">
        <v>126</v>
      </c>
      <c r="F32" s="38" t="n">
        <v>506.14</v>
      </c>
      <c r="G32" s="27" t="n">
        <v>1</v>
      </c>
      <c r="H32" s="27" t="n">
        <v>1</v>
      </c>
      <c r="J32" s="35" t="n">
        <f aca="false">F32*G32</f>
        <v>506.14</v>
      </c>
      <c r="K32" s="28" t="n">
        <f aca="false">G32*H32</f>
        <v>1</v>
      </c>
    </row>
    <row r="33" customFormat="false" ht="15" hidden="false" customHeight="false" outlineLevel="0" collapsed="false">
      <c r="B33" s="8" t="s">
        <v>99</v>
      </c>
      <c r="C33" s="8" t="s">
        <v>124</v>
      </c>
      <c r="D33" s="8" t="s">
        <v>107</v>
      </c>
      <c r="E33" s="8" t="s">
        <v>127</v>
      </c>
      <c r="F33" s="38" t="n">
        <v>459.06</v>
      </c>
      <c r="G33" s="27" t="n">
        <v>1</v>
      </c>
      <c r="H33" s="27" t="n">
        <v>1</v>
      </c>
      <c r="J33" s="35" t="n">
        <f aca="false">F33*G33</f>
        <v>459.06</v>
      </c>
      <c r="K33" s="28" t="n">
        <f aca="false">G33*H33</f>
        <v>1</v>
      </c>
    </row>
    <row r="34" customFormat="false" ht="15" hidden="false" customHeight="false" outlineLevel="0" collapsed="false">
      <c r="B34" s="8" t="s">
        <v>99</v>
      </c>
      <c r="C34" s="8" t="s">
        <v>124</v>
      </c>
      <c r="D34" s="8" t="s">
        <v>107</v>
      </c>
      <c r="E34" s="8" t="s">
        <v>128</v>
      </c>
      <c r="F34" s="38" t="n">
        <v>113.4</v>
      </c>
      <c r="G34" s="27" t="n">
        <v>1</v>
      </c>
      <c r="H34" s="27" t="n">
        <v>1</v>
      </c>
      <c r="J34" s="35" t="n">
        <f aca="false">F34*G34</f>
        <v>113.4</v>
      </c>
      <c r="K34" s="28" t="n">
        <f aca="false">G34*H34</f>
        <v>1</v>
      </c>
    </row>
    <row r="35" customFormat="false" ht="15" hidden="false" customHeight="false" outlineLevel="0" collapsed="false">
      <c r="B35" s="8" t="s">
        <v>99</v>
      </c>
      <c r="C35" s="8" t="s">
        <v>129</v>
      </c>
      <c r="D35" s="8" t="s">
        <v>130</v>
      </c>
      <c r="E35" s="8" t="s">
        <v>125</v>
      </c>
      <c r="F35" s="38" t="n">
        <v>43.05</v>
      </c>
      <c r="G35" s="27" t="n">
        <v>4</v>
      </c>
      <c r="H35" s="27" t="n">
        <v>1</v>
      </c>
      <c r="J35" s="35" t="n">
        <f aca="false">F35*G35</f>
        <v>172.2</v>
      </c>
      <c r="K35" s="28" t="n">
        <f aca="false">G35*H35</f>
        <v>4</v>
      </c>
    </row>
    <row r="36" customFormat="false" ht="15" hidden="false" customHeight="false" outlineLevel="0" collapsed="false">
      <c r="B36" s="8" t="s">
        <v>99</v>
      </c>
      <c r="C36" s="8" t="s">
        <v>129</v>
      </c>
      <c r="D36" s="8" t="s">
        <v>130</v>
      </c>
      <c r="E36" s="8" t="s">
        <v>126</v>
      </c>
      <c r="F36" s="38" t="n">
        <v>42.55</v>
      </c>
      <c r="G36" s="27" t="n">
        <v>4</v>
      </c>
      <c r="H36" s="27" t="n">
        <v>1</v>
      </c>
      <c r="J36" s="35" t="n">
        <f aca="false">F36*G36</f>
        <v>170.2</v>
      </c>
      <c r="K36" s="28" t="n">
        <f aca="false">G36*H36</f>
        <v>4</v>
      </c>
    </row>
    <row r="37" customFormat="false" ht="15" hidden="false" customHeight="false" outlineLevel="0" collapsed="false">
      <c r="B37" s="8" t="s">
        <v>99</v>
      </c>
      <c r="C37" s="8" t="s">
        <v>129</v>
      </c>
      <c r="D37" s="8" t="s">
        <v>130</v>
      </c>
      <c r="E37" s="8" t="s">
        <v>127</v>
      </c>
      <c r="F37" s="38" t="n">
        <v>41.95</v>
      </c>
      <c r="G37" s="27" t="n">
        <v>8</v>
      </c>
      <c r="H37" s="27" t="n">
        <v>1</v>
      </c>
      <c r="J37" s="35" t="n">
        <f aca="false">F37*G37</f>
        <v>335.6</v>
      </c>
      <c r="K37" s="28" t="n">
        <f aca="false">G37*H37</f>
        <v>8</v>
      </c>
    </row>
    <row r="38" customFormat="false" ht="15" hidden="false" customHeight="false" outlineLevel="0" collapsed="false">
      <c r="B38" s="8" t="s">
        <v>99</v>
      </c>
      <c r="C38" s="8" t="s">
        <v>129</v>
      </c>
      <c r="D38" s="8" t="s">
        <v>130</v>
      </c>
      <c r="E38" s="8" t="s">
        <v>128</v>
      </c>
      <c r="F38" s="38" t="n">
        <v>26.09</v>
      </c>
      <c r="G38" s="27" t="n">
        <v>16</v>
      </c>
      <c r="H38" s="27" t="n">
        <v>1</v>
      </c>
      <c r="J38" s="35" t="n">
        <f aca="false">F38*G38</f>
        <v>417.44</v>
      </c>
      <c r="K38" s="28" t="n">
        <f aca="false">G38*H38</f>
        <v>16</v>
      </c>
    </row>
    <row r="39" customFormat="false" ht="15" hidden="false" customHeight="false" outlineLevel="0" collapsed="false">
      <c r="B39" s="8" t="s">
        <v>99</v>
      </c>
      <c r="C39" s="8" t="s">
        <v>131</v>
      </c>
      <c r="D39" s="8" t="s">
        <v>106</v>
      </c>
      <c r="E39" s="8" t="s">
        <v>132</v>
      </c>
      <c r="F39" s="38" t="n">
        <v>53.56</v>
      </c>
      <c r="G39" s="27" t="n">
        <v>4</v>
      </c>
      <c r="H39" s="27" t="n">
        <v>1</v>
      </c>
      <c r="J39" s="35" t="n">
        <f aca="false">F39*G39</f>
        <v>214.24</v>
      </c>
      <c r="K39" s="28" t="n">
        <f aca="false">G39*H39</f>
        <v>4</v>
      </c>
    </row>
    <row r="40" customFormat="false" ht="15" hidden="false" customHeight="false" outlineLevel="0" collapsed="false">
      <c r="B40" s="8" t="s">
        <v>99</v>
      </c>
      <c r="C40" s="8" t="s">
        <v>131</v>
      </c>
      <c r="D40" s="8" t="s">
        <v>106</v>
      </c>
      <c r="E40" s="8" t="s">
        <v>133</v>
      </c>
      <c r="F40" s="38" t="n">
        <v>42.88</v>
      </c>
      <c r="G40" s="27" t="n">
        <v>4</v>
      </c>
      <c r="H40" s="27" t="n">
        <v>1</v>
      </c>
      <c r="J40" s="35" t="n">
        <f aca="false">F40*G40</f>
        <v>171.52</v>
      </c>
      <c r="K40" s="28" t="n">
        <f aca="false">G40*H40</f>
        <v>4</v>
      </c>
    </row>
    <row r="41" customFormat="false" ht="15" hidden="false" customHeight="false" outlineLevel="0" collapsed="false">
      <c r="B41" s="8" t="s">
        <v>99</v>
      </c>
      <c r="C41" s="8" t="s">
        <v>131</v>
      </c>
      <c r="D41" s="8" t="s">
        <v>106</v>
      </c>
      <c r="E41" s="8" t="s">
        <v>134</v>
      </c>
      <c r="F41" s="38" t="n">
        <v>25.92</v>
      </c>
      <c r="G41" s="27" t="n">
        <v>24</v>
      </c>
      <c r="H41" s="27" t="n">
        <v>1</v>
      </c>
      <c r="J41" s="35" t="n">
        <f aca="false">F41*G41</f>
        <v>622.08</v>
      </c>
      <c r="K41" s="28" t="n">
        <f aca="false">G41*H41</f>
        <v>24</v>
      </c>
    </row>
    <row r="42" customFormat="false" ht="15" hidden="false" customHeight="false" outlineLevel="0" collapsed="false">
      <c r="B42" s="8" t="s">
        <v>99</v>
      </c>
      <c r="C42" s="8" t="s">
        <v>131</v>
      </c>
      <c r="D42" s="8" t="s">
        <v>106</v>
      </c>
      <c r="E42" s="8" t="s">
        <v>135</v>
      </c>
      <c r="F42" s="38" t="n">
        <v>52.22</v>
      </c>
      <c r="G42" s="27" t="n">
        <v>4</v>
      </c>
      <c r="H42" s="27" t="n">
        <v>1</v>
      </c>
      <c r="J42" s="35" t="n">
        <f aca="false">F42*G42</f>
        <v>208.88</v>
      </c>
      <c r="K42" s="28" t="n">
        <f aca="false">G42*H42</f>
        <v>4</v>
      </c>
    </row>
    <row r="43" customFormat="false" ht="15" hidden="false" customHeight="false" outlineLevel="0" collapsed="false">
      <c r="B43" s="29" t="s">
        <v>97</v>
      </c>
      <c r="C43" s="29" t="s">
        <v>136</v>
      </c>
      <c r="D43" s="29" t="s">
        <v>107</v>
      </c>
      <c r="E43" s="29" t="s">
        <v>137</v>
      </c>
      <c r="F43" s="39" t="n">
        <v>1013.66</v>
      </c>
      <c r="G43" s="31" t="n">
        <v>1</v>
      </c>
      <c r="H43" s="31" t="n">
        <v>1</v>
      </c>
      <c r="I43" s="40"/>
      <c r="J43" s="41" t="n">
        <f aca="false">F43*G43</f>
        <v>1013.66</v>
      </c>
      <c r="K43" s="32" t="n">
        <f aca="false">G43*H43</f>
        <v>1</v>
      </c>
    </row>
    <row r="44" customFormat="false" ht="15" hidden="false" customHeight="false" outlineLevel="0" collapsed="false">
      <c r="B44" s="29" t="s">
        <v>97</v>
      </c>
      <c r="C44" s="29" t="s">
        <v>124</v>
      </c>
      <c r="D44" s="29" t="s">
        <v>107</v>
      </c>
      <c r="E44" s="29" t="s">
        <v>138</v>
      </c>
      <c r="F44" s="39" t="n">
        <v>1331.76</v>
      </c>
      <c r="G44" s="31" t="n">
        <v>1</v>
      </c>
      <c r="H44" s="31" t="n">
        <v>1</v>
      </c>
      <c r="I44" s="40"/>
      <c r="J44" s="41" t="n">
        <f aca="false">F44*G44</f>
        <v>1331.76</v>
      </c>
      <c r="K44" s="32" t="n">
        <f aca="false">G44*H44</f>
        <v>1</v>
      </c>
    </row>
    <row r="45" customFormat="false" ht="15" hidden="false" customHeight="false" outlineLevel="0" collapsed="false">
      <c r="B45" s="29" t="s">
        <v>97</v>
      </c>
      <c r="C45" s="29" t="s">
        <v>139</v>
      </c>
      <c r="D45" s="29" t="s">
        <v>106</v>
      </c>
      <c r="E45" s="29" t="s">
        <v>140</v>
      </c>
      <c r="F45" s="39" t="n">
        <v>30</v>
      </c>
      <c r="G45" s="31" t="n">
        <v>8</v>
      </c>
      <c r="H45" s="31" t="n">
        <v>1</v>
      </c>
      <c r="I45" s="40"/>
      <c r="J45" s="41" t="n">
        <f aca="false">F45*G45</f>
        <v>240</v>
      </c>
      <c r="K45" s="32" t="n">
        <f aca="false">G45*H45</f>
        <v>8</v>
      </c>
    </row>
    <row r="46" customFormat="false" ht="15" hidden="false" customHeight="false" outlineLevel="0" collapsed="false">
      <c r="B46" s="29" t="s">
        <v>97</v>
      </c>
      <c r="C46" s="29" t="s">
        <v>139</v>
      </c>
      <c r="D46" s="29" t="s">
        <v>106</v>
      </c>
      <c r="E46" s="29" t="s">
        <v>141</v>
      </c>
      <c r="F46" s="39" t="n">
        <v>77.4515</v>
      </c>
      <c r="G46" s="31" t="n">
        <v>13</v>
      </c>
      <c r="H46" s="31" t="n">
        <v>1</v>
      </c>
      <c r="I46" s="40"/>
      <c r="J46" s="41" t="n">
        <f aca="false">F46*G46</f>
        <v>1006.8695</v>
      </c>
      <c r="K46" s="32" t="n">
        <f aca="false">G46*H46</f>
        <v>13</v>
      </c>
    </row>
    <row r="47" customFormat="false" ht="15" hidden="false" customHeight="false" outlineLevel="0" collapsed="false">
      <c r="B47" s="29" t="s">
        <v>97</v>
      </c>
      <c r="C47" s="29" t="s">
        <v>142</v>
      </c>
      <c r="D47" s="29" t="s">
        <v>106</v>
      </c>
      <c r="E47" s="29" t="s">
        <v>140</v>
      </c>
      <c r="F47" s="39" t="n">
        <v>24.95</v>
      </c>
      <c r="G47" s="31" t="n">
        <v>11</v>
      </c>
      <c r="H47" s="31" t="n">
        <v>1</v>
      </c>
      <c r="I47" s="40"/>
      <c r="J47" s="41" t="n">
        <f aca="false">F47*G47</f>
        <v>274.45</v>
      </c>
      <c r="K47" s="32" t="n">
        <f aca="false">G47*H47</f>
        <v>11</v>
      </c>
    </row>
    <row r="48" customFormat="false" ht="15" hidden="false" customHeight="false" outlineLevel="0" collapsed="false">
      <c r="B48" s="29" t="s">
        <v>97</v>
      </c>
      <c r="C48" s="29" t="s">
        <v>142</v>
      </c>
      <c r="D48" s="29" t="s">
        <v>106</v>
      </c>
      <c r="E48" s="29" t="s">
        <v>143</v>
      </c>
      <c r="F48" s="39" t="n">
        <v>84.6667</v>
      </c>
      <c r="G48" s="31" t="n">
        <v>3</v>
      </c>
      <c r="H48" s="31" t="n">
        <v>1</v>
      </c>
      <c r="I48" s="40"/>
      <c r="J48" s="41" t="n">
        <f aca="false">F48*G48</f>
        <v>254.0001</v>
      </c>
      <c r="K48" s="32" t="n">
        <f aca="false">G48*H48</f>
        <v>3</v>
      </c>
    </row>
    <row r="49" customFormat="false" ht="15" hidden="false" customHeight="false" outlineLevel="0" collapsed="false">
      <c r="B49" s="8" t="s">
        <v>94</v>
      </c>
      <c r="C49" s="8" t="s">
        <v>124</v>
      </c>
      <c r="D49" s="8" t="s">
        <v>106</v>
      </c>
      <c r="E49" s="8" t="s">
        <v>144</v>
      </c>
      <c r="F49" s="38" t="n">
        <v>71.56</v>
      </c>
      <c r="G49" s="27" t="n">
        <v>1</v>
      </c>
      <c r="H49" s="27" t="n">
        <v>0</v>
      </c>
      <c r="J49" s="35" t="n">
        <f aca="false">F49*G49</f>
        <v>71.56</v>
      </c>
      <c r="K49" s="28" t="n">
        <f aca="false">G49*H49</f>
        <v>0</v>
      </c>
    </row>
    <row r="50" customFormat="false" ht="15" hidden="false" customHeight="false" outlineLevel="0" collapsed="false">
      <c r="B50" s="8" t="s">
        <v>94</v>
      </c>
      <c r="C50" s="8" t="s">
        <v>124</v>
      </c>
      <c r="D50" s="8" t="s">
        <v>106</v>
      </c>
      <c r="E50" s="8" t="s">
        <v>145</v>
      </c>
      <c r="F50" s="38" t="n">
        <v>26.88</v>
      </c>
      <c r="G50" s="27" t="n">
        <v>3</v>
      </c>
      <c r="H50" s="27" t="n">
        <v>1</v>
      </c>
      <c r="J50" s="35" t="n">
        <f aca="false">F50*G50</f>
        <v>80.64</v>
      </c>
      <c r="K50" s="28" t="n">
        <f aca="false">G50*H50</f>
        <v>3</v>
      </c>
    </row>
    <row r="51" customFormat="false" ht="15" hidden="false" customHeight="false" outlineLevel="0" collapsed="false">
      <c r="B51" s="8" t="s">
        <v>94</v>
      </c>
      <c r="C51" s="8" t="s">
        <v>124</v>
      </c>
      <c r="D51" s="8" t="s">
        <v>106</v>
      </c>
      <c r="E51" s="8" t="s">
        <v>146</v>
      </c>
      <c r="F51" s="38" t="n">
        <v>147.54</v>
      </c>
      <c r="G51" s="27" t="n">
        <v>1</v>
      </c>
      <c r="H51" s="27" t="n">
        <v>1</v>
      </c>
      <c r="J51" s="35" t="n">
        <f aca="false">F51*G51</f>
        <v>147.54</v>
      </c>
      <c r="K51" s="28" t="n">
        <f aca="false">G51*H51</f>
        <v>1</v>
      </c>
    </row>
    <row r="52" customFormat="false" ht="15" hidden="false" customHeight="false" outlineLevel="0" collapsed="false">
      <c r="B52" s="8" t="s">
        <v>94</v>
      </c>
      <c r="C52" s="8" t="s">
        <v>129</v>
      </c>
      <c r="D52" s="8" t="s">
        <v>106</v>
      </c>
      <c r="E52" s="8" t="s">
        <v>144</v>
      </c>
      <c r="F52" s="38" t="n">
        <v>122.14</v>
      </c>
      <c r="G52" s="27" t="n">
        <v>1</v>
      </c>
      <c r="H52" s="27" t="n">
        <v>0</v>
      </c>
      <c r="J52" s="35" t="n">
        <f aca="false">F52*G52</f>
        <v>122.14</v>
      </c>
      <c r="K52" s="28" t="n">
        <f aca="false">G52*H52</f>
        <v>0</v>
      </c>
    </row>
    <row r="53" customFormat="false" ht="15" hidden="false" customHeight="false" outlineLevel="0" collapsed="false">
      <c r="B53" s="8" t="s">
        <v>94</v>
      </c>
      <c r="C53" s="8" t="s">
        <v>129</v>
      </c>
      <c r="D53" s="8" t="s">
        <v>106</v>
      </c>
      <c r="E53" s="8" t="s">
        <v>147</v>
      </c>
      <c r="F53" s="38" t="n">
        <v>65.26</v>
      </c>
      <c r="G53" s="27" t="n">
        <v>1</v>
      </c>
      <c r="H53" s="27" t="n">
        <v>0</v>
      </c>
      <c r="J53" s="35" t="n">
        <f aca="false">F53*G53</f>
        <v>65.26</v>
      </c>
      <c r="K53" s="28" t="n">
        <f aca="false">G53*H53</f>
        <v>0</v>
      </c>
    </row>
    <row r="54" customFormat="false" ht="15" hidden="false" customHeight="false" outlineLevel="0" collapsed="false">
      <c r="B54" s="8" t="s">
        <v>94</v>
      </c>
      <c r="C54" s="8" t="s">
        <v>129</v>
      </c>
      <c r="D54" s="8" t="s">
        <v>106</v>
      </c>
      <c r="E54" s="8" t="s">
        <v>145</v>
      </c>
      <c r="F54" s="38" t="n">
        <v>26.88</v>
      </c>
      <c r="G54" s="27" t="n">
        <v>5</v>
      </c>
      <c r="H54" s="27" t="n">
        <v>1</v>
      </c>
      <c r="J54" s="35" t="n">
        <f aca="false">F54*G54</f>
        <v>134.4</v>
      </c>
      <c r="K54" s="28" t="n">
        <f aca="false">G54*H54</f>
        <v>5</v>
      </c>
    </row>
    <row r="55" customFormat="false" ht="15" hidden="false" customHeight="false" outlineLevel="0" collapsed="false">
      <c r="B55" s="8" t="s">
        <v>94</v>
      </c>
      <c r="C55" s="8" t="s">
        <v>131</v>
      </c>
      <c r="D55" s="8" t="s">
        <v>106</v>
      </c>
      <c r="E55" s="8" t="s">
        <v>148</v>
      </c>
      <c r="F55" s="38" t="n">
        <v>71.8</v>
      </c>
      <c r="G55" s="27" t="n">
        <v>1</v>
      </c>
      <c r="H55" s="27" t="n">
        <v>0</v>
      </c>
      <c r="J55" s="35" t="n">
        <f aca="false">F55*G55</f>
        <v>71.8</v>
      </c>
      <c r="K55" s="28" t="n">
        <f aca="false">G55*H55</f>
        <v>0</v>
      </c>
    </row>
    <row r="56" customFormat="false" ht="15" hidden="false" customHeight="false" outlineLevel="0" collapsed="false">
      <c r="B56" s="8" t="s">
        <v>94</v>
      </c>
      <c r="C56" s="8" t="s">
        <v>131</v>
      </c>
      <c r="D56" s="8" t="s">
        <v>106</v>
      </c>
      <c r="E56" s="8" t="s">
        <v>145</v>
      </c>
      <c r="F56" s="38" t="n">
        <v>26.88</v>
      </c>
      <c r="G56" s="27" t="n">
        <v>4</v>
      </c>
      <c r="H56" s="27" t="n">
        <v>1</v>
      </c>
      <c r="J56" s="35" t="n">
        <f aca="false">F56*G56</f>
        <v>107.52</v>
      </c>
      <c r="K56" s="28" t="n">
        <f aca="false">G56*H56</f>
        <v>4</v>
      </c>
    </row>
    <row r="57" customFormat="false" ht="15" hidden="false" customHeight="false" outlineLevel="0" collapsed="false">
      <c r="B57" s="8" t="s">
        <v>92</v>
      </c>
      <c r="C57" s="8" t="s">
        <v>124</v>
      </c>
      <c r="D57" s="8" t="s">
        <v>106</v>
      </c>
      <c r="E57" s="8" t="s">
        <v>149</v>
      </c>
      <c r="F57" s="38" t="n">
        <v>214.9</v>
      </c>
      <c r="G57" s="27" t="n">
        <v>1</v>
      </c>
      <c r="H57" s="27" t="n">
        <v>1</v>
      </c>
      <c r="J57" s="35" t="n">
        <f aca="false">F57*G57</f>
        <v>214.9</v>
      </c>
      <c r="K57" s="28" t="n">
        <f aca="false">G57*H57</f>
        <v>1</v>
      </c>
    </row>
    <row r="58" customFormat="false" ht="15" hidden="false" customHeight="false" outlineLevel="0" collapsed="false">
      <c r="B58" s="8" t="s">
        <v>92</v>
      </c>
      <c r="C58" s="8" t="s">
        <v>124</v>
      </c>
      <c r="D58" s="8" t="s">
        <v>106</v>
      </c>
      <c r="E58" s="8" t="s">
        <v>150</v>
      </c>
      <c r="F58" s="38" t="n">
        <v>179.5</v>
      </c>
      <c r="G58" s="27" t="n">
        <v>3</v>
      </c>
      <c r="H58" s="27" t="n">
        <v>1</v>
      </c>
      <c r="J58" s="35" t="n">
        <f aca="false">F58*G58</f>
        <v>538.5</v>
      </c>
      <c r="K58" s="28" t="n">
        <f aca="false">G58*H58</f>
        <v>3</v>
      </c>
    </row>
    <row r="59" customFormat="false" ht="15" hidden="false" customHeight="false" outlineLevel="0" collapsed="false">
      <c r="B59" s="8" t="s">
        <v>92</v>
      </c>
      <c r="C59" s="8" t="s">
        <v>124</v>
      </c>
      <c r="D59" s="8" t="s">
        <v>106</v>
      </c>
      <c r="E59" s="8" t="s">
        <v>146</v>
      </c>
      <c r="F59" s="38" t="n">
        <v>148.8</v>
      </c>
      <c r="G59" s="27" t="n">
        <v>4</v>
      </c>
      <c r="H59" s="27" t="n">
        <v>1</v>
      </c>
      <c r="J59" s="35" t="n">
        <f aca="false">F59*G59</f>
        <v>595.2</v>
      </c>
      <c r="K59" s="28" t="n">
        <f aca="false">G59*H59</f>
        <v>4</v>
      </c>
    </row>
    <row r="60" customFormat="false" ht="15" hidden="false" customHeight="false" outlineLevel="0" collapsed="false">
      <c r="B60" s="8" t="s">
        <v>92</v>
      </c>
      <c r="C60" s="8" t="s">
        <v>129</v>
      </c>
      <c r="D60" s="8" t="s">
        <v>106</v>
      </c>
      <c r="E60" s="8" t="s">
        <v>149</v>
      </c>
      <c r="F60" s="38" t="n">
        <v>218.6</v>
      </c>
      <c r="G60" s="27" t="n">
        <v>1</v>
      </c>
      <c r="H60" s="27" t="n">
        <v>1</v>
      </c>
      <c r="J60" s="35" t="n">
        <f aca="false">F60*G60</f>
        <v>218.6</v>
      </c>
      <c r="K60" s="28" t="n">
        <f aca="false">G60*H60</f>
        <v>1</v>
      </c>
    </row>
    <row r="61" customFormat="false" ht="15" hidden="false" customHeight="false" outlineLevel="0" collapsed="false">
      <c r="B61" s="8" t="s">
        <v>92</v>
      </c>
      <c r="C61" s="8" t="s">
        <v>129</v>
      </c>
      <c r="D61" s="8" t="s">
        <v>106</v>
      </c>
      <c r="E61" s="8" t="s">
        <v>150</v>
      </c>
      <c r="F61" s="38" t="n">
        <v>183.1</v>
      </c>
      <c r="G61" s="27" t="n">
        <v>3</v>
      </c>
      <c r="H61" s="27" t="n">
        <v>1</v>
      </c>
      <c r="J61" s="35" t="n">
        <f aca="false">F61*G61</f>
        <v>549.3</v>
      </c>
      <c r="K61" s="28" t="n">
        <f aca="false">G61*H61</f>
        <v>3</v>
      </c>
    </row>
    <row r="62" customFormat="false" ht="15" hidden="false" customHeight="false" outlineLevel="0" collapsed="false">
      <c r="B62" s="8" t="s">
        <v>92</v>
      </c>
      <c r="C62" s="8" t="s">
        <v>129</v>
      </c>
      <c r="D62" s="8" t="s">
        <v>106</v>
      </c>
      <c r="E62" s="8" t="s">
        <v>146</v>
      </c>
      <c r="F62" s="38" t="n">
        <v>152.1</v>
      </c>
      <c r="G62" s="27" t="n">
        <v>4</v>
      </c>
      <c r="H62" s="27" t="n">
        <v>1</v>
      </c>
      <c r="J62" s="35" t="n">
        <f aca="false">F62*G62</f>
        <v>608.4</v>
      </c>
      <c r="K62" s="28" t="n">
        <f aca="false">G62*H62</f>
        <v>4</v>
      </c>
    </row>
    <row r="63" customFormat="false" ht="15" hidden="false" customHeight="false" outlineLevel="0" collapsed="false">
      <c r="B63" s="8" t="s">
        <v>92</v>
      </c>
      <c r="C63" s="8" t="s">
        <v>131</v>
      </c>
      <c r="D63" s="8" t="s">
        <v>106</v>
      </c>
      <c r="E63" s="8" t="s">
        <v>151</v>
      </c>
      <c r="F63" s="38" t="n">
        <v>143.1</v>
      </c>
      <c r="G63" s="27" t="n">
        <v>1</v>
      </c>
      <c r="H63" s="27" t="n">
        <v>1</v>
      </c>
      <c r="J63" s="35" t="n">
        <f aca="false">F63*G63</f>
        <v>143.1</v>
      </c>
      <c r="K63" s="28" t="n">
        <f aca="false">G63*H63</f>
        <v>1</v>
      </c>
    </row>
    <row r="64" customFormat="false" ht="15" hidden="false" customHeight="false" outlineLevel="0" collapsed="false">
      <c r="B64" s="8" t="s">
        <v>92</v>
      </c>
      <c r="C64" s="8" t="s">
        <v>131</v>
      </c>
      <c r="D64" s="8" t="s">
        <v>106</v>
      </c>
      <c r="E64" s="8" t="s">
        <v>151</v>
      </c>
      <c r="F64" s="38" t="n">
        <v>119.2</v>
      </c>
      <c r="G64" s="27" t="n">
        <v>3</v>
      </c>
      <c r="H64" s="27" t="n">
        <v>1</v>
      </c>
      <c r="J64" s="35" t="n">
        <f aca="false">F64*G64</f>
        <v>357.6</v>
      </c>
      <c r="K64" s="28" t="n">
        <f aca="false">G64*H64</f>
        <v>3</v>
      </c>
    </row>
    <row r="65" customFormat="false" ht="15" hidden="false" customHeight="false" outlineLevel="0" collapsed="false">
      <c r="B65" s="8" t="s">
        <v>92</v>
      </c>
      <c r="C65" s="8" t="s">
        <v>131</v>
      </c>
      <c r="D65" s="8" t="s">
        <v>106</v>
      </c>
      <c r="E65" s="8" t="s">
        <v>151</v>
      </c>
      <c r="F65" s="38" t="n">
        <v>97.2</v>
      </c>
      <c r="G65" s="27" t="n">
        <v>4</v>
      </c>
      <c r="H65" s="27" t="n">
        <v>1</v>
      </c>
      <c r="J65" s="35" t="n">
        <f aca="false">F65*G65</f>
        <v>388.8</v>
      </c>
      <c r="K65" s="28" t="n">
        <f aca="false">G65*H65</f>
        <v>4</v>
      </c>
    </row>
    <row r="66" customFormat="false" ht="15" hidden="false" customHeight="false" outlineLevel="0" collapsed="false">
      <c r="B66" s="8" t="s">
        <v>96</v>
      </c>
      <c r="C66" s="8" t="s">
        <v>124</v>
      </c>
      <c r="D66" s="8" t="s">
        <v>106</v>
      </c>
      <c r="E66" s="8" t="s">
        <v>150</v>
      </c>
      <c r="F66" s="38" t="n">
        <v>179.5</v>
      </c>
      <c r="G66" s="27" t="n">
        <v>6</v>
      </c>
      <c r="H66" s="27" t="n">
        <v>1</v>
      </c>
      <c r="J66" s="35" t="n">
        <f aca="false">F66*G66</f>
        <v>1077</v>
      </c>
      <c r="K66" s="28" t="n">
        <f aca="false">G66*H66</f>
        <v>6</v>
      </c>
    </row>
    <row r="67" customFormat="false" ht="15" hidden="false" customHeight="false" outlineLevel="0" collapsed="false">
      <c r="B67" s="8" t="s">
        <v>96</v>
      </c>
      <c r="C67" s="8" t="s">
        <v>124</v>
      </c>
      <c r="D67" s="8" t="s">
        <v>106</v>
      </c>
      <c r="E67" s="8" t="s">
        <v>146</v>
      </c>
      <c r="F67" s="38" t="n">
        <v>148.8</v>
      </c>
      <c r="G67" s="27" t="n">
        <v>6</v>
      </c>
      <c r="H67" s="27" t="n">
        <v>1</v>
      </c>
      <c r="J67" s="35" t="n">
        <f aca="false">F67*G67</f>
        <v>892.8</v>
      </c>
      <c r="K67" s="28" t="n">
        <f aca="false">G67*H67</f>
        <v>6</v>
      </c>
    </row>
    <row r="68" customFormat="false" ht="15" hidden="false" customHeight="false" outlineLevel="0" collapsed="false">
      <c r="B68" s="8" t="s">
        <v>96</v>
      </c>
      <c r="C68" s="8" t="s">
        <v>139</v>
      </c>
      <c r="D68" s="8" t="s">
        <v>106</v>
      </c>
      <c r="E68" s="8" t="s">
        <v>150</v>
      </c>
      <c r="F68" s="38" t="n">
        <v>179.5</v>
      </c>
      <c r="G68" s="27" t="n">
        <v>6</v>
      </c>
      <c r="H68" s="27" t="n">
        <v>1</v>
      </c>
      <c r="J68" s="35" t="n">
        <f aca="false">F68*G68</f>
        <v>1077</v>
      </c>
      <c r="K68" s="28" t="n">
        <f aca="false">G68*H68</f>
        <v>6</v>
      </c>
    </row>
    <row r="69" customFormat="false" ht="15" hidden="false" customHeight="false" outlineLevel="0" collapsed="false">
      <c r="B69" s="8" t="s">
        <v>96</v>
      </c>
      <c r="C69" s="8" t="s">
        <v>139</v>
      </c>
      <c r="D69" s="8" t="s">
        <v>106</v>
      </c>
      <c r="E69" s="8" t="s">
        <v>146</v>
      </c>
      <c r="F69" s="38" t="n">
        <v>148.8</v>
      </c>
      <c r="G69" s="27" t="n">
        <v>6</v>
      </c>
      <c r="H69" s="27" t="n">
        <v>1</v>
      </c>
      <c r="J69" s="35" t="n">
        <f aca="false">F69*G69</f>
        <v>892.8</v>
      </c>
      <c r="K69" s="28" t="n">
        <f aca="false">G69*H69</f>
        <v>6</v>
      </c>
    </row>
    <row r="70" customFormat="false" ht="15" hidden="false" customHeight="false" outlineLevel="0" collapsed="false">
      <c r="B70" s="8" t="s">
        <v>96</v>
      </c>
      <c r="C70" s="8" t="s">
        <v>142</v>
      </c>
      <c r="D70" s="8" t="s">
        <v>106</v>
      </c>
      <c r="E70" s="8" t="s">
        <v>150</v>
      </c>
      <c r="F70" s="38" t="n">
        <v>183.1</v>
      </c>
      <c r="G70" s="27" t="n">
        <v>6</v>
      </c>
      <c r="H70" s="27" t="n">
        <v>1</v>
      </c>
      <c r="J70" s="35" t="n">
        <f aca="false">F70*G70</f>
        <v>1098.6</v>
      </c>
      <c r="K70" s="28" t="n">
        <f aca="false">G70*H70</f>
        <v>6</v>
      </c>
    </row>
    <row r="71" customFormat="false" ht="15" hidden="false" customHeight="false" outlineLevel="0" collapsed="false">
      <c r="B71" s="8" t="s">
        <v>96</v>
      </c>
      <c r="C71" s="8" t="s">
        <v>142</v>
      </c>
      <c r="D71" s="8" t="s">
        <v>106</v>
      </c>
      <c r="E71" s="8" t="s">
        <v>146</v>
      </c>
      <c r="F71" s="38" t="n">
        <v>152.1</v>
      </c>
      <c r="G71" s="27" t="n">
        <v>6</v>
      </c>
      <c r="H71" s="27" t="n">
        <v>1</v>
      </c>
      <c r="J71" s="35" t="n">
        <f aca="false">F71*G71</f>
        <v>912.6</v>
      </c>
      <c r="K71" s="28" t="n">
        <f aca="false">G71*H71</f>
        <v>6</v>
      </c>
    </row>
    <row r="72" customFormat="false" ht="15" hidden="false" customHeight="false" outlineLevel="0" collapsed="false">
      <c r="B72" s="8" t="s">
        <v>96</v>
      </c>
      <c r="C72" s="8" t="s">
        <v>131</v>
      </c>
      <c r="D72" s="8" t="s">
        <v>106</v>
      </c>
      <c r="E72" s="8" t="s">
        <v>151</v>
      </c>
      <c r="F72" s="38" t="n">
        <v>119.2</v>
      </c>
      <c r="G72" s="27" t="n">
        <v>6</v>
      </c>
      <c r="H72" s="27" t="n">
        <v>1</v>
      </c>
      <c r="J72" s="35" t="n">
        <f aca="false">F72*G72</f>
        <v>715.2</v>
      </c>
      <c r="K72" s="28" t="n">
        <f aca="false">G72*H72</f>
        <v>6</v>
      </c>
    </row>
    <row r="73" customFormat="false" ht="15" hidden="false" customHeight="false" outlineLevel="0" collapsed="false">
      <c r="B73" s="8" t="s">
        <v>96</v>
      </c>
      <c r="C73" s="8" t="s">
        <v>131</v>
      </c>
      <c r="D73" s="8" t="s">
        <v>106</v>
      </c>
      <c r="E73" s="8" t="s">
        <v>151</v>
      </c>
      <c r="F73" s="38" t="n">
        <v>97.2</v>
      </c>
      <c r="G73" s="27" t="n">
        <v>6</v>
      </c>
      <c r="H73" s="27" t="n">
        <v>1</v>
      </c>
      <c r="J73" s="35" t="n">
        <f aca="false">F73*G73</f>
        <v>583.2</v>
      </c>
      <c r="K73" s="28" t="n">
        <f aca="false">G73*H73</f>
        <v>6</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J4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34"/>
    <col collapsed="false" customWidth="true" hidden="false" outlineLevel="0" max="3" min="3" style="0" width="16"/>
    <col collapsed="false" customWidth="true" hidden="false" outlineLevel="0" max="4" min="4" style="0" width="14"/>
    <col collapsed="false" customWidth="true" hidden="false" outlineLevel="0" max="5" min="5" style="0" width="13"/>
    <col collapsed="false" customWidth="true" hidden="false" outlineLevel="0" max="6" min="6" style="0" width="30"/>
    <col collapsed="false" customWidth="true" hidden="false" outlineLevel="0" max="7" min="7" style="0" width="15"/>
    <col collapsed="false" customWidth="true" hidden="false" outlineLevel="0" max="8" min="8" style="0" width="12"/>
    <col collapsed="false" customWidth="true" hidden="false" outlineLevel="0" max="10" min="9" style="0" width="15"/>
  </cols>
  <sheetData>
    <row r="2" customFormat="false" ht="19.7" hidden="false" customHeight="false" outlineLevel="0" collapsed="false">
      <c r="B2" s="26" t="s">
        <v>152</v>
      </c>
    </row>
    <row r="3" customFormat="false" ht="15" hidden="false" customHeight="false" outlineLevel="0" collapsed="false">
      <c r="B3" s="4" t="s">
        <v>153</v>
      </c>
    </row>
    <row r="5" customFormat="false" ht="15" hidden="false" customHeight="false" outlineLevel="0" collapsed="false">
      <c r="B5" s="5" t="s">
        <v>154</v>
      </c>
      <c r="F5" s="5" t="s">
        <v>155</v>
      </c>
    </row>
    <row r="6" customFormat="false" ht="19.5" hidden="false" customHeight="true" outlineLevel="0" collapsed="false">
      <c r="B6" s="6" t="s">
        <v>5</v>
      </c>
      <c r="C6" s="7" t="s">
        <v>6</v>
      </c>
      <c r="D6" s="6" t="s">
        <v>7</v>
      </c>
      <c r="F6" s="6" t="s">
        <v>5</v>
      </c>
      <c r="G6" s="7" t="s">
        <v>6</v>
      </c>
      <c r="H6" s="6" t="s">
        <v>7</v>
      </c>
    </row>
    <row r="7" customFormat="false" ht="15" hidden="false" customHeight="false" outlineLevel="0" collapsed="false">
      <c r="B7" s="8" t="s">
        <v>11</v>
      </c>
      <c r="C7" s="11" t="n">
        <f aca="false">01_Kennwerte!$J$6</f>
        <v>3614</v>
      </c>
      <c r="D7" s="8" t="s">
        <v>12</v>
      </c>
      <c r="F7" s="8" t="s">
        <v>156</v>
      </c>
      <c r="G7" s="42" t="n">
        <f aca="false">16_Residualwert!$D$71</f>
        <v>30</v>
      </c>
      <c r="H7" s="8" t="s">
        <v>30</v>
      </c>
    </row>
    <row r="8" customFormat="false" ht="15" hidden="false" customHeight="false" outlineLevel="0" collapsed="false">
      <c r="B8" s="8" t="s">
        <v>157</v>
      </c>
      <c r="C8" s="11" t="n">
        <f aca="false">01_Kennwerte!$N$6</f>
        <v>8818</v>
      </c>
      <c r="D8" s="8" t="s">
        <v>12</v>
      </c>
      <c r="F8" s="8" t="s">
        <v>158</v>
      </c>
      <c r="G8" s="42" t="n">
        <f aca="false">16_Residualwert!$E$71</f>
        <v>19.5156751592357</v>
      </c>
      <c r="H8" s="8" t="s">
        <v>30</v>
      </c>
    </row>
    <row r="9" customFormat="false" ht="15" hidden="false" customHeight="false" outlineLevel="0" collapsed="false">
      <c r="B9" s="8" t="s">
        <v>159</v>
      </c>
      <c r="C9" s="11" t="n">
        <f aca="false">01_Kennwerte!$K$6</f>
        <v>19115</v>
      </c>
      <c r="D9" s="8" t="s">
        <v>15</v>
      </c>
      <c r="F9" s="8" t="s">
        <v>160</v>
      </c>
      <c r="G9" s="42" t="n">
        <f aca="false">16_Residualwert!$F$71</f>
        <v>0</v>
      </c>
      <c r="H9" s="8" t="s">
        <v>30</v>
      </c>
    </row>
    <row r="10" customFormat="false" ht="15" hidden="false" customHeight="false" outlineLevel="0" collapsed="false">
      <c r="B10" s="8" t="s">
        <v>161</v>
      </c>
      <c r="C10" s="11" t="n">
        <f aca="false">01_Kennwerte!$M$6</f>
        <v>12246</v>
      </c>
      <c r="D10" s="8" t="s">
        <v>15</v>
      </c>
      <c r="F10" s="15" t="s">
        <v>34</v>
      </c>
      <c r="G10" s="43" t="n">
        <f aca="false">16_Residualwert!$G$71</f>
        <v>10.4843248407643</v>
      </c>
      <c r="H10" s="17" t="s">
        <v>30</v>
      </c>
    </row>
    <row r="11" customFormat="false" ht="15" hidden="false" customHeight="false" outlineLevel="0" collapsed="false">
      <c r="B11" s="8" t="s">
        <v>162</v>
      </c>
      <c r="C11" s="11" t="n">
        <f aca="false">01_Kennwerte!$O$6</f>
        <v>31361</v>
      </c>
      <c r="D11" s="8" t="s">
        <v>15</v>
      </c>
      <c r="F11" s="8" t="s">
        <v>22</v>
      </c>
      <c r="G11" s="42" t="n">
        <f aca="false">16_Residualwert!$H$71</f>
        <v>29.7237022278959</v>
      </c>
      <c r="H11" s="8" t="s">
        <v>30</v>
      </c>
    </row>
    <row r="12" customFormat="false" ht="15" hidden="false" customHeight="false" outlineLevel="0" collapsed="false">
      <c r="B12" s="8" t="s">
        <v>163</v>
      </c>
      <c r="C12" s="11" t="n">
        <f aca="false">01_Kennwerte!$P$6</f>
        <v>6</v>
      </c>
      <c r="D12" s="8" t="s">
        <v>164</v>
      </c>
      <c r="F12" s="8" t="s">
        <v>165</v>
      </c>
      <c r="G12" s="42" t="n">
        <f aca="false">16_Residualwert!$I$71</f>
        <v>10.2080270686603</v>
      </c>
      <c r="H12" s="8" t="s">
        <v>30</v>
      </c>
    </row>
    <row r="13" customFormat="false" ht="15" hidden="false" customHeight="false" outlineLevel="0" collapsed="false">
      <c r="B13" s="8" t="s">
        <v>166</v>
      </c>
      <c r="C13" s="11" t="n">
        <f aca="false">01_Kennwerte!$Q$6</f>
        <v>55</v>
      </c>
      <c r="D13" s="8" t="s">
        <v>164</v>
      </c>
      <c r="F13" s="8" t="s">
        <v>167</v>
      </c>
      <c r="G13" s="42" t="n">
        <f aca="false">16_Residualwert!$J$71</f>
        <v>28.2686363655641</v>
      </c>
      <c r="H13" s="8" t="s">
        <v>30</v>
      </c>
    </row>
    <row r="14" customFormat="false" ht="15" hidden="false" customHeight="false" outlineLevel="0" collapsed="false">
      <c r="B14" s="8" t="s">
        <v>168</v>
      </c>
      <c r="C14" s="11" t="n">
        <f aca="false">01_Kennwerte!$S$6</f>
        <v>24</v>
      </c>
      <c r="D14" s="8" t="s">
        <v>122</v>
      </c>
      <c r="F14" s="8" t="s">
        <v>169</v>
      </c>
      <c r="G14" s="19" t="n">
        <f aca="false">16_Residualwert!$K$71</f>
        <v>3.5</v>
      </c>
      <c r="H14" s="8" t="s">
        <v>30</v>
      </c>
    </row>
    <row r="15" customFormat="false" ht="15" hidden="false" customHeight="false" outlineLevel="0" collapsed="false">
      <c r="B15" s="8" t="s">
        <v>170</v>
      </c>
      <c r="C15" s="11" t="n">
        <f aca="false">01_Kennwerte!$T$6</f>
        <v>0</v>
      </c>
      <c r="D15" s="8" t="s">
        <v>122</v>
      </c>
      <c r="F15" s="8" t="s">
        <v>171</v>
      </c>
      <c r="G15" s="44" t="n">
        <f aca="false">16_Residualwert!$L$71</f>
        <v>0.17934301383079</v>
      </c>
      <c r="H15" s="8" t="s">
        <v>172</v>
      </c>
    </row>
    <row r="17" customFormat="false" ht="15" hidden="false" customHeight="false" outlineLevel="0" collapsed="false">
      <c r="B17" s="5" t="s">
        <v>173</v>
      </c>
    </row>
    <row r="18" customFormat="false" ht="19.5" hidden="false" customHeight="true" outlineLevel="0" collapsed="false">
      <c r="B18" s="6" t="s">
        <v>174</v>
      </c>
      <c r="C18" s="7" t="s">
        <v>175</v>
      </c>
      <c r="D18" s="7" t="s">
        <v>176</v>
      </c>
      <c r="E18" s="7" t="s">
        <v>177</v>
      </c>
    </row>
    <row r="19" customFormat="false" ht="15" hidden="false" customHeight="false" outlineLevel="0" collapsed="false">
      <c r="B19" s="9" t="str">
        <f aca="false">'07_Planung &amp; Agenda'!$D$17</f>
        <v>–</v>
      </c>
      <c r="C19" s="9" t="str">
        <f aca="false">'07_Planung &amp; Agenda'!$E$17</f>
        <v>22.07.2026 (eingereicht)</v>
      </c>
      <c r="D19" s="9" t="str">
        <f aca="false">'07_Planung &amp; Agenda'!$F$17</f>
        <v>Q1 2028</v>
      </c>
      <c r="E19" s="9" t="str">
        <f aca="false">'07_Planung &amp; Agenda'!$G$17</f>
        <v>Q1 2029</v>
      </c>
    </row>
    <row r="21" customFormat="false" ht="15" hidden="false" customHeight="false" outlineLevel="0" collapsed="false">
      <c r="B21" s="5" t="s">
        <v>178</v>
      </c>
    </row>
    <row r="22" customFormat="false" ht="31.5" hidden="false" customHeight="true" outlineLevel="0" collapsed="false">
      <c r="B22" s="6" t="s">
        <v>74</v>
      </c>
      <c r="C22" s="6" t="s">
        <v>103</v>
      </c>
      <c r="D22" s="7" t="s">
        <v>40</v>
      </c>
      <c r="E22" s="7" t="s">
        <v>113</v>
      </c>
      <c r="F22" s="7" t="s">
        <v>52</v>
      </c>
      <c r="G22" s="7" t="s">
        <v>53</v>
      </c>
      <c r="H22" s="7" t="s">
        <v>54</v>
      </c>
      <c r="I22" s="7" t="s">
        <v>43</v>
      </c>
      <c r="J22" s="7" t="s">
        <v>179</v>
      </c>
    </row>
    <row r="23" customFormat="false" ht="15" hidden="false" customHeight="false" outlineLevel="0" collapsed="false">
      <c r="B23" s="8" t="s">
        <v>92</v>
      </c>
      <c r="C23" s="8" t="s">
        <v>106</v>
      </c>
      <c r="D23" s="11" t="n">
        <f aca="false">12_Ertragsrechnung!$E$7</f>
        <v>3614.4</v>
      </c>
      <c r="E23" s="45" t="n">
        <f aca="false">12_Ertragsrechnung!$F$7</f>
        <v>24</v>
      </c>
      <c r="F23" s="11" t="n">
        <f aca="false">12_Ertragsrechnung!$H$7</f>
        <v>1126586.48911584</v>
      </c>
      <c r="G23" s="11" t="n">
        <f aca="false">12_Ertragsrechnung!$N$7</f>
        <v>957598.515748462</v>
      </c>
      <c r="H23" s="14" t="n">
        <f aca="false">13_Bewertung!$F$8</f>
        <v>0.034</v>
      </c>
      <c r="I23" s="13" t="n">
        <f aca="false">13_Bewertung!$G$8</f>
        <v>28164662.2278959</v>
      </c>
      <c r="J23" s="11" t="n">
        <f aca="false">13_Bewertung!$J$8</f>
        <v>26781677.2809481</v>
      </c>
    </row>
    <row r="24" customFormat="false" ht="15" hidden="false" customHeight="false" outlineLevel="0" collapsed="false">
      <c r="B24" s="8" t="s">
        <v>92</v>
      </c>
      <c r="C24" s="8" t="s">
        <v>180</v>
      </c>
      <c r="D24" s="11" t="str">
        <f aca="false">12_Ertragsrechnung!$E$8</f>
        <v>—</v>
      </c>
      <c r="E24" s="45" t="n">
        <f aca="false">12_Ertragsrechnung!$F$8</f>
        <v>33.6</v>
      </c>
      <c r="F24" s="11" t="n">
        <f aca="false">12_Ertragsrechnung!$H$8</f>
        <v>80640</v>
      </c>
      <c r="G24" s="11" t="n">
        <f aca="false">12_Ertragsrechnung!$N$8</f>
        <v>70156.8</v>
      </c>
      <c r="H24" s="14" t="n">
        <f aca="false">13_Bewertung!$F$9</f>
        <v>0.045</v>
      </c>
      <c r="I24" s="13" t="n">
        <f aca="false">13_Bewertung!$G$9</f>
        <v>1559040</v>
      </c>
      <c r="J24" s="11" t="n">
        <f aca="false">13_Bewertung!$J$9</f>
        <v>1486959.08461593</v>
      </c>
    </row>
    <row r="25" customFormat="false" ht="15" hidden="false" customHeight="false" outlineLevel="0" collapsed="false">
      <c r="B25" s="20" t="s">
        <v>181</v>
      </c>
      <c r="C25" s="20"/>
      <c r="D25" s="23" t="n">
        <f aca="false">SUM(D23:D24)</f>
        <v>3614.4</v>
      </c>
      <c r="E25" s="20"/>
      <c r="F25" s="23" t="n">
        <f aca="false">SUM(F23:F24)</f>
        <v>1207226.48911584</v>
      </c>
      <c r="G25" s="23" t="n">
        <f aca="false">SUM(G23:G24)</f>
        <v>1027755.31574846</v>
      </c>
      <c r="H25" s="46" t="n">
        <f aca="false">IF(I25=0,0,G25/I25)</f>
        <v>0.0345769617751017</v>
      </c>
      <c r="I25" s="23" t="n">
        <f aca="false">SUM(I23:I24)</f>
        <v>29723702.2278959</v>
      </c>
      <c r="J25" s="23" t="n">
        <f aca="false">SUM(J23:J24)</f>
        <v>28268636.3655641</v>
      </c>
    </row>
    <row r="26" customFormat="false" ht="15" hidden="false" customHeight="false" outlineLevel="0" collapsed="false">
      <c r="B26" s="8" t="s">
        <v>26</v>
      </c>
      <c r="F26" s="47" t="n">
        <f aca="false">IF(I25=0,0,F25/I25)</f>
        <v>0.0406149435847479</v>
      </c>
    </row>
    <row r="27" customFormat="false" ht="15" hidden="false" customHeight="false" outlineLevel="0" collapsed="false">
      <c r="B27" s="8" t="s">
        <v>182</v>
      </c>
      <c r="F27" s="28" t="n">
        <f aca="false">IF(C7=0,0,I25/C7)</f>
        <v>8224.59939897508</v>
      </c>
    </row>
    <row r="29" customFormat="false" ht="15" hidden="false" customHeight="false" outlineLevel="0" collapsed="false">
      <c r="B29" s="5" t="s">
        <v>183</v>
      </c>
    </row>
    <row r="30" customFormat="false" ht="19.5" hidden="false" customHeight="true" outlineLevel="0" collapsed="false">
      <c r="B30" s="6" t="s">
        <v>184</v>
      </c>
      <c r="C30" s="7" t="s">
        <v>185</v>
      </c>
      <c r="D30" s="7" t="s">
        <v>186</v>
      </c>
      <c r="E30" s="7" t="s">
        <v>187</v>
      </c>
      <c r="F30" s="7" t="s">
        <v>188</v>
      </c>
      <c r="G30" s="7" t="s">
        <v>189</v>
      </c>
      <c r="H30" s="7" t="s">
        <v>190</v>
      </c>
      <c r="I30" s="7" t="s">
        <v>191</v>
      </c>
      <c r="J30" s="7" t="s">
        <v>192</v>
      </c>
    </row>
    <row r="31" customFormat="false" ht="15" hidden="false" customHeight="false" outlineLevel="0" collapsed="false">
      <c r="B31" s="11" t="n">
        <f aca="false">'07_Planung &amp; Agenda'!$D$32</f>
        <v>525000</v>
      </c>
      <c r="C31" s="11" t="n">
        <f aca="false">'07_Planung &amp; Agenda'!$E$32</f>
        <v>525000</v>
      </c>
      <c r="D31" s="11" t="n">
        <f aca="false">'07_Planung &amp; Agenda'!$F$32</f>
        <v>525000</v>
      </c>
      <c r="E31" s="11" t="n">
        <f aca="false">'07_Planung &amp; Agenda'!$G$32</f>
        <v>525000</v>
      </c>
      <c r="F31" s="11" t="n">
        <f aca="false">'07_Planung &amp; Agenda'!$H$32</f>
        <v>525000</v>
      </c>
      <c r="G31" s="11" t="n">
        <f aca="false">'07_Planung &amp; Agenda'!$I$32</f>
        <v>525000</v>
      </c>
      <c r="H31" s="11" t="n">
        <f aca="false">'07_Planung &amp; Agenda'!$J$32</f>
        <v>175000</v>
      </c>
      <c r="I31" s="11" t="n">
        <f aca="false">'07_Planung &amp; Agenda'!$K$32</f>
        <v>175000</v>
      </c>
      <c r="J31" s="13" t="n">
        <f aca="false">'07_Planung &amp; Agenda'!$L$32</f>
        <v>3500000</v>
      </c>
    </row>
    <row r="33" customFormat="false" ht="15" hidden="false" customHeight="false" outlineLevel="0" collapsed="false">
      <c r="B33" s="5" t="s">
        <v>193</v>
      </c>
    </row>
    <row r="34" customFormat="false" ht="30" hidden="false" customHeight="true" outlineLevel="0" collapsed="false">
      <c r="B34" s="6" t="s">
        <v>74</v>
      </c>
      <c r="C34" s="6" t="s">
        <v>119</v>
      </c>
      <c r="D34" s="6" t="s">
        <v>103</v>
      </c>
      <c r="E34" s="6" t="s">
        <v>120</v>
      </c>
      <c r="F34" s="7" t="s">
        <v>121</v>
      </c>
      <c r="G34" s="7" t="s">
        <v>122</v>
      </c>
      <c r="H34" s="7" t="s">
        <v>80</v>
      </c>
    </row>
    <row r="35" customFormat="false" ht="15" hidden="false" customHeight="false" outlineLevel="0" collapsed="false">
      <c r="B35" s="9" t="str">
        <f aca="false">02_Flächenspiegel!$B$57</f>
        <v>Villette 1 BE</v>
      </c>
      <c r="C35" s="9" t="str">
        <f aca="false">02_Flächenspiegel!$C$57</f>
        <v>EG</v>
      </c>
      <c r="D35" s="9" t="str">
        <f aca="false">02_Flächenspiegel!$D$57</f>
        <v>Wohnen</v>
      </c>
      <c r="E35" s="9" t="str">
        <f aca="false">02_Flächenspiegel!$E$57</f>
        <v>7.5 Zi.-Whg.</v>
      </c>
      <c r="F35" s="36" t="n">
        <f aca="false">02_Flächenspiegel!$F$57</f>
        <v>214.9</v>
      </c>
      <c r="G35" s="11" t="n">
        <f aca="false">02_Flächenspiegel!$G$57</f>
        <v>1</v>
      </c>
      <c r="H35" s="36" t="n">
        <f aca="false">02_Flächenspiegel!$J$57</f>
        <v>214.9</v>
      </c>
    </row>
    <row r="36" customFormat="false" ht="15" hidden="false" customHeight="false" outlineLevel="0" collapsed="false">
      <c r="B36" s="9" t="str">
        <f aca="false">02_Flächenspiegel!$B$58</f>
        <v>Villette 1 BE</v>
      </c>
      <c r="C36" s="9" t="str">
        <f aca="false">02_Flächenspiegel!$C$58</f>
        <v>EG</v>
      </c>
      <c r="D36" s="9" t="str">
        <f aca="false">02_Flächenspiegel!$D$58</f>
        <v>Wohnen</v>
      </c>
      <c r="E36" s="9" t="str">
        <f aca="false">02_Flächenspiegel!$E$58</f>
        <v>5.5 Zi.-Whg.</v>
      </c>
      <c r="F36" s="36" t="n">
        <f aca="false">02_Flächenspiegel!$F$58</f>
        <v>179.5</v>
      </c>
      <c r="G36" s="11" t="n">
        <f aca="false">02_Flächenspiegel!$G$58</f>
        <v>3</v>
      </c>
      <c r="H36" s="36" t="n">
        <f aca="false">02_Flächenspiegel!$J$58</f>
        <v>538.5</v>
      </c>
    </row>
    <row r="37" customFormat="false" ht="15" hidden="false" customHeight="false" outlineLevel="0" collapsed="false">
      <c r="B37" s="9" t="str">
        <f aca="false">02_Flächenspiegel!$B$59</f>
        <v>Villette 1 BE</v>
      </c>
      <c r="C37" s="9" t="str">
        <f aca="false">02_Flächenspiegel!$C$59</f>
        <v>EG</v>
      </c>
      <c r="D37" s="9" t="str">
        <f aca="false">02_Flächenspiegel!$D$59</f>
        <v>Wohnen</v>
      </c>
      <c r="E37" s="9" t="str">
        <f aca="false">02_Flächenspiegel!$E$59</f>
        <v>4.5 Zi.-Whg.</v>
      </c>
      <c r="F37" s="36" t="n">
        <f aca="false">02_Flächenspiegel!$F$59</f>
        <v>148.8</v>
      </c>
      <c r="G37" s="11" t="n">
        <f aca="false">02_Flächenspiegel!$G$59</f>
        <v>4</v>
      </c>
      <c r="H37" s="36" t="n">
        <f aca="false">02_Flächenspiegel!$J$59</f>
        <v>595.2</v>
      </c>
    </row>
    <row r="38" customFormat="false" ht="15" hidden="false" customHeight="false" outlineLevel="0" collapsed="false">
      <c r="B38" s="9" t="str">
        <f aca="false">02_Flächenspiegel!$B$60</f>
        <v>Villette 1 BE</v>
      </c>
      <c r="C38" s="9" t="str">
        <f aca="false">02_Flächenspiegel!$C$60</f>
        <v>OG</v>
      </c>
      <c r="D38" s="9" t="str">
        <f aca="false">02_Flächenspiegel!$D$60</f>
        <v>Wohnen</v>
      </c>
      <c r="E38" s="9" t="str">
        <f aca="false">02_Flächenspiegel!$E$60</f>
        <v>7.5 Zi.-Whg.</v>
      </c>
      <c r="F38" s="36" t="n">
        <f aca="false">02_Flächenspiegel!$F$60</f>
        <v>218.6</v>
      </c>
      <c r="G38" s="11" t="n">
        <f aca="false">02_Flächenspiegel!$G$60</f>
        <v>1</v>
      </c>
      <c r="H38" s="36" t="n">
        <f aca="false">02_Flächenspiegel!$J$60</f>
        <v>218.6</v>
      </c>
    </row>
    <row r="39" customFormat="false" ht="15" hidden="false" customHeight="false" outlineLevel="0" collapsed="false">
      <c r="B39" s="9" t="str">
        <f aca="false">02_Flächenspiegel!$B$61</f>
        <v>Villette 1 BE</v>
      </c>
      <c r="C39" s="9" t="str">
        <f aca="false">02_Flächenspiegel!$C$61</f>
        <v>OG</v>
      </c>
      <c r="D39" s="9" t="str">
        <f aca="false">02_Flächenspiegel!$D$61</f>
        <v>Wohnen</v>
      </c>
      <c r="E39" s="9" t="str">
        <f aca="false">02_Flächenspiegel!$E$61</f>
        <v>5.5 Zi.-Whg.</v>
      </c>
      <c r="F39" s="36" t="n">
        <f aca="false">02_Flächenspiegel!$F$61</f>
        <v>183.1</v>
      </c>
      <c r="G39" s="11" t="n">
        <f aca="false">02_Flächenspiegel!$G$61</f>
        <v>3</v>
      </c>
      <c r="H39" s="36" t="n">
        <f aca="false">02_Flächenspiegel!$J$61</f>
        <v>549.3</v>
      </c>
    </row>
    <row r="40" customFormat="false" ht="15" hidden="false" customHeight="false" outlineLevel="0" collapsed="false">
      <c r="B40" s="9" t="str">
        <f aca="false">02_Flächenspiegel!$B$62</f>
        <v>Villette 1 BE</v>
      </c>
      <c r="C40" s="9" t="str">
        <f aca="false">02_Flächenspiegel!$C$62</f>
        <v>OG</v>
      </c>
      <c r="D40" s="9" t="str">
        <f aca="false">02_Flächenspiegel!$D$62</f>
        <v>Wohnen</v>
      </c>
      <c r="E40" s="9" t="str">
        <f aca="false">02_Flächenspiegel!$E$62</f>
        <v>4.5 Zi.-Whg.</v>
      </c>
      <c r="F40" s="36" t="n">
        <f aca="false">02_Flächenspiegel!$F$62</f>
        <v>152.1</v>
      </c>
      <c r="G40" s="11" t="n">
        <f aca="false">02_Flächenspiegel!$G$62</f>
        <v>4</v>
      </c>
      <c r="H40" s="36" t="n">
        <f aca="false">02_Flächenspiegel!$J$62</f>
        <v>608.4</v>
      </c>
    </row>
    <row r="41" customFormat="false" ht="15" hidden="false" customHeight="false" outlineLevel="0" collapsed="false">
      <c r="B41" s="9" t="str">
        <f aca="false">02_Flächenspiegel!$B$63</f>
        <v>Villette 1 BE</v>
      </c>
      <c r="C41" s="9" t="str">
        <f aca="false">02_Flächenspiegel!$C$63</f>
        <v>AT</v>
      </c>
      <c r="D41" s="9" t="str">
        <f aca="false">02_Flächenspiegel!$D$63</f>
        <v>Wohnen</v>
      </c>
      <c r="E41" s="9" t="str">
        <f aca="false">02_Flächenspiegel!$E$63</f>
        <v>3.5 Zi.-Whg.</v>
      </c>
      <c r="F41" s="36" t="n">
        <f aca="false">02_Flächenspiegel!$F$63</f>
        <v>143.1</v>
      </c>
      <c r="G41" s="11" t="n">
        <f aca="false">02_Flächenspiegel!$G$63</f>
        <v>1</v>
      </c>
      <c r="H41" s="36" t="n">
        <f aca="false">02_Flächenspiegel!$J$63</f>
        <v>143.1</v>
      </c>
    </row>
    <row r="42" customFormat="false" ht="15" hidden="false" customHeight="false" outlineLevel="0" collapsed="false">
      <c r="B42" s="9" t="str">
        <f aca="false">02_Flächenspiegel!$B$64</f>
        <v>Villette 1 BE</v>
      </c>
      <c r="C42" s="9" t="str">
        <f aca="false">02_Flächenspiegel!$C$64</f>
        <v>AT</v>
      </c>
      <c r="D42" s="9" t="str">
        <f aca="false">02_Flächenspiegel!$D$64</f>
        <v>Wohnen</v>
      </c>
      <c r="E42" s="9" t="str">
        <f aca="false">02_Flächenspiegel!$E$64</f>
        <v>3.5 Zi.-Whg.</v>
      </c>
      <c r="F42" s="36" t="n">
        <f aca="false">02_Flächenspiegel!$F$64</f>
        <v>119.2</v>
      </c>
      <c r="G42" s="11" t="n">
        <f aca="false">02_Flächenspiegel!$G$64</f>
        <v>3</v>
      </c>
      <c r="H42" s="36" t="n">
        <f aca="false">02_Flächenspiegel!$J$64</f>
        <v>357.6</v>
      </c>
    </row>
    <row r="43" customFormat="false" ht="15" hidden="false" customHeight="false" outlineLevel="0" collapsed="false">
      <c r="B43" s="9" t="str">
        <f aca="false">02_Flächenspiegel!$B$65</f>
        <v>Villette 1 BE</v>
      </c>
      <c r="C43" s="9" t="str">
        <f aca="false">02_Flächenspiegel!$C$65</f>
        <v>AT</v>
      </c>
      <c r="D43" s="9" t="str">
        <f aca="false">02_Flächenspiegel!$D$65</f>
        <v>Wohnen</v>
      </c>
      <c r="E43" s="9" t="str">
        <f aca="false">02_Flächenspiegel!$E$65</f>
        <v>3.5 Zi.-Whg.</v>
      </c>
      <c r="F43" s="36" t="n">
        <f aca="false">02_Flächenspiegel!$F$65</f>
        <v>97.2</v>
      </c>
      <c r="G43" s="11" t="n">
        <f aca="false">02_Flächenspiegel!$G$65</f>
        <v>4</v>
      </c>
      <c r="H43" s="36" t="n">
        <f aca="false">02_Flächenspiegel!$J$65</f>
        <v>388.8</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J6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34"/>
    <col collapsed="false" customWidth="true" hidden="false" outlineLevel="0" max="3" min="3" style="0" width="16"/>
    <col collapsed="false" customWidth="true" hidden="false" outlineLevel="0" max="4" min="4" style="0" width="14"/>
    <col collapsed="false" customWidth="true" hidden="false" outlineLevel="0" max="5" min="5" style="0" width="13"/>
    <col collapsed="false" customWidth="true" hidden="false" outlineLevel="0" max="6" min="6" style="0" width="30"/>
    <col collapsed="false" customWidth="true" hidden="false" outlineLevel="0" max="7" min="7" style="0" width="15"/>
    <col collapsed="false" customWidth="true" hidden="false" outlineLevel="0" max="8" min="8" style="0" width="12"/>
    <col collapsed="false" customWidth="true" hidden="false" outlineLevel="0" max="10" min="9" style="0" width="15"/>
  </cols>
  <sheetData>
    <row r="2" customFormat="false" ht="19.7" hidden="false" customHeight="false" outlineLevel="0" collapsed="false">
      <c r="B2" s="26" t="s">
        <v>194</v>
      </c>
    </row>
    <row r="3" customFormat="false" ht="15" hidden="false" customHeight="false" outlineLevel="0" collapsed="false">
      <c r="B3" s="4" t="s">
        <v>195</v>
      </c>
    </row>
    <row r="5" customFormat="false" ht="15" hidden="false" customHeight="false" outlineLevel="0" collapsed="false">
      <c r="B5" s="5" t="s">
        <v>154</v>
      </c>
      <c r="F5" s="5" t="s">
        <v>155</v>
      </c>
    </row>
    <row r="6" customFormat="false" ht="19.5" hidden="false" customHeight="true" outlineLevel="0" collapsed="false">
      <c r="B6" s="6" t="s">
        <v>5</v>
      </c>
      <c r="C6" s="7" t="s">
        <v>6</v>
      </c>
      <c r="D6" s="6" t="s">
        <v>7</v>
      </c>
      <c r="F6" s="6" t="s">
        <v>5</v>
      </c>
      <c r="G6" s="7" t="s">
        <v>6</v>
      </c>
      <c r="H6" s="6" t="s">
        <v>7</v>
      </c>
    </row>
    <row r="7" customFormat="false" ht="15" hidden="false" customHeight="false" outlineLevel="0" collapsed="false">
      <c r="B7" s="8" t="s">
        <v>11</v>
      </c>
      <c r="C7" s="11" t="n">
        <f aca="false">01_Kennwerte!$J$7+01_Kennwerte!$J$9</f>
        <v>4922.35</v>
      </c>
      <c r="D7" s="8" t="s">
        <v>12</v>
      </c>
      <c r="F7" s="8" t="s">
        <v>156</v>
      </c>
      <c r="G7" s="42" t="n">
        <f aca="false">16_Residualwert!$D$72</f>
        <v>35.5622226776835</v>
      </c>
      <c r="H7" s="8" t="s">
        <v>30</v>
      </c>
    </row>
    <row r="8" customFormat="false" ht="15" hidden="false" customHeight="false" outlineLevel="0" collapsed="false">
      <c r="B8" s="8" t="s">
        <v>157</v>
      </c>
      <c r="C8" s="11" t="n">
        <f aca="false">01_Kennwerte!$N$7+01_Kennwerte!$N$9</f>
        <v>10400.79</v>
      </c>
      <c r="D8" s="8" t="s">
        <v>12</v>
      </c>
      <c r="F8" s="8" t="s">
        <v>158</v>
      </c>
      <c r="G8" s="42" t="n">
        <f aca="false">16_Residualwert!$E$72</f>
        <v>23.808623</v>
      </c>
      <c r="H8" s="8" t="s">
        <v>30</v>
      </c>
    </row>
    <row r="9" customFormat="false" ht="15" hidden="false" customHeight="false" outlineLevel="0" collapsed="false">
      <c r="B9" s="8" t="s">
        <v>159</v>
      </c>
      <c r="C9" s="11" t="n">
        <f aca="false">01_Kennwerte!$K$7+01_Kennwerte!$K$9</f>
        <v>20882.89</v>
      </c>
      <c r="D9" s="8" t="s">
        <v>15</v>
      </c>
      <c r="F9" s="8" t="s">
        <v>160</v>
      </c>
      <c r="G9" s="42" t="n">
        <f aca="false">16_Residualwert!$F$72</f>
        <v>0</v>
      </c>
      <c r="H9" s="8" t="s">
        <v>30</v>
      </c>
    </row>
    <row r="10" customFormat="false" ht="15" hidden="false" customHeight="false" outlineLevel="0" collapsed="false">
      <c r="B10" s="8" t="s">
        <v>161</v>
      </c>
      <c r="C10" s="11" t="n">
        <f aca="false">01_Kennwerte!$M$7+01_Kennwerte!$M$9</f>
        <v>18994</v>
      </c>
      <c r="D10" s="8" t="s">
        <v>15</v>
      </c>
      <c r="F10" s="15" t="s">
        <v>34</v>
      </c>
      <c r="G10" s="43" t="n">
        <f aca="false">16_Residualwert!$G$72</f>
        <v>11.7535996776835</v>
      </c>
      <c r="H10" s="17" t="s">
        <v>30</v>
      </c>
    </row>
    <row r="11" customFormat="false" ht="15" hidden="false" customHeight="false" outlineLevel="0" collapsed="false">
      <c r="B11" s="8" t="s">
        <v>162</v>
      </c>
      <c r="C11" s="11" t="n">
        <f aca="false">01_Kennwerte!$O$7+01_Kennwerte!$O$9</f>
        <v>39876.89</v>
      </c>
      <c r="D11" s="8" t="s">
        <v>15</v>
      </c>
      <c r="F11" s="8" t="s">
        <v>22</v>
      </c>
      <c r="G11" s="42" t="n">
        <f aca="false">16_Residualwert!$H$72</f>
        <v>35.8471760465718</v>
      </c>
      <c r="H11" s="8" t="s">
        <v>30</v>
      </c>
    </row>
    <row r="12" customFormat="false" ht="15" hidden="false" customHeight="false" outlineLevel="0" collapsed="false">
      <c r="B12" s="8" t="s">
        <v>163</v>
      </c>
      <c r="C12" s="11" t="n">
        <f aca="false">01_Kennwerte!$P$7+01_Kennwerte!$P$9</f>
        <v>14</v>
      </c>
      <c r="D12" s="8" t="s">
        <v>164</v>
      </c>
      <c r="F12" s="8" t="s">
        <v>165</v>
      </c>
      <c r="G12" s="42" t="n">
        <f aca="false">16_Residualwert!$I$72</f>
        <v>12.0385530465718</v>
      </c>
      <c r="H12" s="8" t="s">
        <v>30</v>
      </c>
    </row>
    <row r="13" customFormat="false" ht="15" hidden="false" customHeight="false" outlineLevel="0" collapsed="false">
      <c r="B13" s="8" t="s">
        <v>166</v>
      </c>
      <c r="C13" s="11" t="n">
        <f aca="false">01_Kennwerte!$Q$7+01_Kennwerte!$Q$9</f>
        <v>101</v>
      </c>
      <c r="D13" s="8" t="s">
        <v>164</v>
      </c>
      <c r="F13" s="8" t="s">
        <v>167</v>
      </c>
      <c r="G13" s="42" t="n">
        <f aca="false">16_Residualwert!$J$72</f>
        <v>33.9318936333775</v>
      </c>
      <c r="H13" s="8" t="s">
        <v>30</v>
      </c>
    </row>
    <row r="14" customFormat="false" ht="15" hidden="false" customHeight="false" outlineLevel="0" collapsed="false">
      <c r="B14" s="8" t="s">
        <v>168</v>
      </c>
      <c r="C14" s="11" t="n">
        <f aca="false">01_Kennwerte!$S$7+01_Kennwerte!$S$9</f>
        <v>48</v>
      </c>
      <c r="D14" s="8" t="s">
        <v>122</v>
      </c>
      <c r="F14" s="8" t="s">
        <v>169</v>
      </c>
      <c r="G14" s="19" t="n">
        <f aca="false">16_Residualwert!$K$72</f>
        <v>2.5</v>
      </c>
      <c r="H14" s="8" t="s">
        <v>30</v>
      </c>
    </row>
    <row r="15" customFormat="false" ht="15" hidden="false" customHeight="false" outlineLevel="0" collapsed="false">
      <c r="B15" s="8" t="s">
        <v>170</v>
      </c>
      <c r="C15" s="11" t="n">
        <f aca="false">01_Kennwerte!$T$7+01_Kennwerte!$T$9</f>
        <v>2</v>
      </c>
      <c r="D15" s="8" t="s">
        <v>122</v>
      </c>
      <c r="F15" s="8" t="s">
        <v>171</v>
      </c>
      <c r="G15" s="44" t="n">
        <f aca="false">16_Residualwert!$L$72</f>
        <v>0.105003972720304</v>
      </c>
      <c r="H15" s="8" t="s">
        <v>172</v>
      </c>
    </row>
    <row r="17" customFormat="false" ht="15" hidden="false" customHeight="false" outlineLevel="0" collapsed="false">
      <c r="B17" s="5" t="s">
        <v>173</v>
      </c>
    </row>
    <row r="18" customFormat="false" ht="19.5" hidden="false" customHeight="true" outlineLevel="0" collapsed="false">
      <c r="B18" s="6" t="s">
        <v>174</v>
      </c>
      <c r="C18" s="7" t="s">
        <v>175</v>
      </c>
      <c r="D18" s="7" t="s">
        <v>176</v>
      </c>
      <c r="E18" s="7" t="s">
        <v>177</v>
      </c>
    </row>
    <row r="19" customFormat="false" ht="15" hidden="false" customHeight="false" outlineLevel="0" collapsed="false">
      <c r="B19" s="9" t="str">
        <f aca="false">'07_Planung &amp; Agenda'!$D$18</f>
        <v>–</v>
      </c>
      <c r="C19" s="9" t="str">
        <f aca="false">'07_Planung &amp; Agenda'!$E$18</f>
        <v>Q2 2027</v>
      </c>
      <c r="D19" s="9" t="str">
        <f aca="false">'07_Planung &amp; Agenda'!$F$18</f>
        <v>Q2 2028</v>
      </c>
      <c r="E19" s="9" t="str">
        <f aca="false">'07_Planung &amp; Agenda'!$G$18</f>
        <v>Q4 2029</v>
      </c>
    </row>
    <row r="21" customFormat="false" ht="15" hidden="false" customHeight="false" outlineLevel="0" collapsed="false">
      <c r="B21" s="5" t="s">
        <v>178</v>
      </c>
    </row>
    <row r="22" customFormat="false" ht="31.5" hidden="false" customHeight="true" outlineLevel="0" collapsed="false">
      <c r="B22" s="6" t="s">
        <v>74</v>
      </c>
      <c r="C22" s="6" t="s">
        <v>103</v>
      </c>
      <c r="D22" s="7" t="s">
        <v>40</v>
      </c>
      <c r="E22" s="7" t="s">
        <v>113</v>
      </c>
      <c r="F22" s="7" t="s">
        <v>52</v>
      </c>
      <c r="G22" s="7" t="s">
        <v>53</v>
      </c>
      <c r="H22" s="7" t="s">
        <v>54</v>
      </c>
      <c r="I22" s="7" t="s">
        <v>43</v>
      </c>
      <c r="J22" s="7" t="s">
        <v>179</v>
      </c>
    </row>
    <row r="23" customFormat="false" ht="15" hidden="false" customHeight="false" outlineLevel="0" collapsed="false">
      <c r="B23" s="8" t="s">
        <v>94</v>
      </c>
      <c r="C23" s="8" t="s">
        <v>196</v>
      </c>
      <c r="D23" s="11" t="n">
        <f aca="false">12_Ertragsrechnung!$E$9</f>
        <v>800.86</v>
      </c>
      <c r="E23" s="45" t="n">
        <f aca="false">12_Ertragsrechnung!$F$9</f>
        <v>17</v>
      </c>
      <c r="F23" s="11" t="n">
        <f aca="false">12_Ertragsrechnung!$H$9</f>
        <v>271175.02170814</v>
      </c>
      <c r="G23" s="11" t="n">
        <f aca="false">12_Ertragsrechnung!$N$9</f>
        <v>225075.268017756</v>
      </c>
      <c r="H23" s="14" t="n">
        <f aca="false">13_Bewertung!$F$10</f>
        <v>0.038</v>
      </c>
      <c r="I23" s="13" t="n">
        <f aca="false">13_Bewertung!$G$10</f>
        <v>5923033.36888832</v>
      </c>
      <c r="J23" s="11" t="n">
        <f aca="false">13_Bewertung!$J$10</f>
        <v>5625692.81974268</v>
      </c>
    </row>
    <row r="24" customFormat="false" ht="15" hidden="false" customHeight="false" outlineLevel="0" collapsed="false">
      <c r="B24" s="8" t="s">
        <v>94</v>
      </c>
      <c r="C24" s="8" t="s">
        <v>180</v>
      </c>
      <c r="D24" s="11" t="str">
        <f aca="false">12_Ertragsrechnung!$E$10</f>
        <v>—</v>
      </c>
      <c r="E24" s="45" t="n">
        <f aca="false">12_Ertragsrechnung!$F$10</f>
        <v>7.8</v>
      </c>
      <c r="F24" s="11" t="n">
        <f aca="false">12_Ertragsrechnung!$H$10</f>
        <v>18720</v>
      </c>
      <c r="G24" s="11" t="n">
        <f aca="false">12_Ertragsrechnung!$N$10</f>
        <v>16286.4</v>
      </c>
      <c r="H24" s="14" t="n">
        <f aca="false">13_Bewertung!$F$11</f>
        <v>0.045</v>
      </c>
      <c r="I24" s="13" t="n">
        <f aca="false">13_Bewertung!$G$11</f>
        <v>361920</v>
      </c>
      <c r="J24" s="11" t="n">
        <f aca="false">13_Bewertung!$J$11</f>
        <v>345186.93035727</v>
      </c>
    </row>
    <row r="25" customFormat="false" ht="15" hidden="false" customHeight="false" outlineLevel="0" collapsed="false">
      <c r="B25" s="29" t="s">
        <v>97</v>
      </c>
      <c r="C25" s="29" t="s">
        <v>196</v>
      </c>
      <c r="D25" s="33" t="n">
        <f aca="false">12_Ertragsrechnung!$E$11</f>
        <v>1775.3196</v>
      </c>
      <c r="E25" s="48" t="n">
        <f aca="false">12_Ertragsrechnung!$F$11</f>
        <v>35</v>
      </c>
      <c r="F25" s="33" t="n">
        <f aca="false">12_Ertragsrechnung!$H$11</f>
        <v>715029.140396318</v>
      </c>
      <c r="G25" s="33" t="n">
        <f aca="false">12_Ertragsrechnung!$N$11</f>
        <v>593474.186528944</v>
      </c>
      <c r="H25" s="49" t="n">
        <f aca="false">13_Bewertung!$F$12</f>
        <v>0.038</v>
      </c>
      <c r="I25" s="50" t="n">
        <f aca="false">13_Bewertung!$G$12</f>
        <v>15617741.7507617</v>
      </c>
      <c r="J25" s="33" t="n">
        <f aca="false">13_Bewertung!$J$12</f>
        <v>14833719.8451992</v>
      </c>
    </row>
    <row r="26" customFormat="false" ht="15" hidden="false" customHeight="false" outlineLevel="0" collapsed="false">
      <c r="B26" s="29" t="s">
        <v>97</v>
      </c>
      <c r="C26" s="29" t="s">
        <v>107</v>
      </c>
      <c r="D26" s="33" t="n">
        <f aca="false">12_Ertragsrechnung!$E$12</f>
        <v>1331.76</v>
      </c>
      <c r="E26" s="48" t="n">
        <f aca="false">12_Ertragsrechnung!$F$12</f>
        <v>1</v>
      </c>
      <c r="F26" s="33" t="n">
        <f aca="false">12_Ertragsrechnung!$H$12</f>
        <v>204153.831311441</v>
      </c>
      <c r="G26" s="33" t="n">
        <f aca="false">12_Ertragsrechnung!$N$12</f>
        <v>177613.833240954</v>
      </c>
      <c r="H26" s="49" t="n">
        <f aca="false">13_Bewertung!$F$13</f>
        <v>0.056</v>
      </c>
      <c r="I26" s="50" t="n">
        <f aca="false">13_Bewertung!$G$13</f>
        <v>3171675.59358846</v>
      </c>
      <c r="J26" s="33" t="n">
        <f aca="false">13_Bewertung!$J$13</f>
        <v>3024326.05309735</v>
      </c>
    </row>
    <row r="27" customFormat="false" ht="15" hidden="false" customHeight="false" outlineLevel="0" collapsed="false">
      <c r="B27" s="29" t="s">
        <v>97</v>
      </c>
      <c r="C27" s="30" t="s">
        <v>197</v>
      </c>
      <c r="D27" s="33" t="n">
        <f aca="false">12_Ertragsrechnung!$E$13</f>
        <v>1013.66</v>
      </c>
      <c r="E27" s="48" t="n">
        <f aca="false">12_Ertragsrechnung!$F$13</f>
        <v>1</v>
      </c>
      <c r="F27" s="33" t="n">
        <f aca="false">12_Ertragsrechnung!$H$13</f>
        <v>580000</v>
      </c>
      <c r="G27" s="33" t="n">
        <f aca="false">12_Ertragsrechnung!$N$13</f>
        <v>319000</v>
      </c>
      <c r="H27" s="49" t="n">
        <f aca="false">13_Bewertung!$F$14</f>
        <v>0.066</v>
      </c>
      <c r="I27" s="50" t="n">
        <f aca="false">13_Bewertung!$G$14</f>
        <v>4833333.33333333</v>
      </c>
      <c r="J27" s="33" t="n">
        <f aca="false">13_Bewertung!$J$14</f>
        <v>4458218.80540538</v>
      </c>
    </row>
    <row r="28" customFormat="false" ht="15" hidden="false" customHeight="false" outlineLevel="0" collapsed="false">
      <c r="B28" s="29" t="s">
        <v>97</v>
      </c>
      <c r="C28" s="30" t="s">
        <v>198</v>
      </c>
      <c r="D28" s="33" t="str">
        <f aca="false">12_Ertragsrechnung!$E$14</f>
        <v>—</v>
      </c>
      <c r="E28" s="48" t="n">
        <f aca="false">12_Ertragsrechnung!$F$14</f>
        <v>101</v>
      </c>
      <c r="F28" s="33" t="n">
        <f aca="false">12_Ertragsrechnung!$H$14</f>
        <v>385680</v>
      </c>
      <c r="G28" s="33" t="n">
        <f aca="false">12_Ertragsrechnung!$N$14</f>
        <v>296973.6</v>
      </c>
      <c r="H28" s="49" t="n">
        <f aca="false">13_Bewertung!$F$15</f>
        <v>0.05</v>
      </c>
      <c r="I28" s="50" t="n">
        <f aca="false">13_Bewertung!$G$15</f>
        <v>5939472</v>
      </c>
      <c r="J28" s="33" t="n">
        <f aca="false">13_Bewertung!$J$15</f>
        <v>5644749.17957563</v>
      </c>
    </row>
    <row r="29" customFormat="false" ht="15" hidden="false" customHeight="false" outlineLevel="0" collapsed="false">
      <c r="B29" s="20" t="s">
        <v>199</v>
      </c>
      <c r="C29" s="20"/>
      <c r="D29" s="23" t="n">
        <f aca="false">SUM(D23:D28)</f>
        <v>4921.5996</v>
      </c>
      <c r="E29" s="20"/>
      <c r="F29" s="23" t="n">
        <f aca="false">SUM(F23:F28)</f>
        <v>2174757.9934159</v>
      </c>
      <c r="G29" s="23" t="n">
        <f aca="false">SUM(G23:G28)</f>
        <v>1628423.28778765</v>
      </c>
      <c r="H29" s="46" t="n">
        <f aca="false">IF(I29=0,0,G29/I29)</f>
        <v>0.0454268220646459</v>
      </c>
      <c r="I29" s="23" t="n">
        <f aca="false">SUM(I23:I28)</f>
        <v>35847176.0465718</v>
      </c>
      <c r="J29" s="23" t="n">
        <f aca="false">SUM(J23:J28)</f>
        <v>33931893.6333775</v>
      </c>
    </row>
    <row r="30" customFormat="false" ht="15" hidden="false" customHeight="false" outlineLevel="0" collapsed="false">
      <c r="B30" s="8" t="s">
        <v>26</v>
      </c>
      <c r="F30" s="47" t="n">
        <f aca="false">IF(I29=0,0,F29/I29)</f>
        <v>0.0606674843951587</v>
      </c>
    </row>
    <row r="31" customFormat="false" ht="15" hidden="false" customHeight="false" outlineLevel="0" collapsed="false">
      <c r="B31" s="8" t="s">
        <v>182</v>
      </c>
      <c r="F31" s="28" t="n">
        <f aca="false">IF(C7=0,0,I29/C7)</f>
        <v>7282.5329459652</v>
      </c>
    </row>
    <row r="33" customFormat="false" ht="15" hidden="false" customHeight="false" outlineLevel="0" collapsed="false">
      <c r="B33" s="5" t="s">
        <v>183</v>
      </c>
    </row>
    <row r="34" customFormat="false" ht="19.5" hidden="false" customHeight="true" outlineLevel="0" collapsed="false">
      <c r="B34" s="6" t="s">
        <v>184</v>
      </c>
      <c r="C34" s="7" t="s">
        <v>185</v>
      </c>
      <c r="D34" s="7" t="s">
        <v>186</v>
      </c>
      <c r="E34" s="7" t="s">
        <v>187</v>
      </c>
      <c r="F34" s="7" t="s">
        <v>188</v>
      </c>
      <c r="G34" s="7" t="s">
        <v>189</v>
      </c>
      <c r="H34" s="7" t="s">
        <v>190</v>
      </c>
      <c r="I34" s="7" t="s">
        <v>191</v>
      </c>
      <c r="J34" s="7" t="s">
        <v>192</v>
      </c>
    </row>
    <row r="35" customFormat="false" ht="15" hidden="false" customHeight="false" outlineLevel="0" collapsed="false">
      <c r="B35" s="11" t="n">
        <f aca="false">'07_Planung &amp; Agenda'!$D$33</f>
        <v>250000</v>
      </c>
      <c r="C35" s="11" t="n">
        <f aca="false">'07_Planung &amp; Agenda'!$E$33</f>
        <v>375000</v>
      </c>
      <c r="D35" s="11" t="n">
        <f aca="false">'07_Planung &amp; Agenda'!$F$33</f>
        <v>500000</v>
      </c>
      <c r="E35" s="11" t="n">
        <f aca="false">'07_Planung &amp; Agenda'!$G$33</f>
        <v>250000</v>
      </c>
      <c r="F35" s="11" t="n">
        <f aca="false">'07_Planung &amp; Agenda'!$H$33</f>
        <v>250000</v>
      </c>
      <c r="G35" s="11" t="n">
        <f aca="false">'07_Planung &amp; Agenda'!$I$33</f>
        <v>375000</v>
      </c>
      <c r="H35" s="11" t="n">
        <f aca="false">'07_Planung &amp; Agenda'!$J$33</f>
        <v>375000</v>
      </c>
      <c r="I35" s="11" t="n">
        <f aca="false">'07_Planung &amp; Agenda'!$K$33</f>
        <v>125000</v>
      </c>
      <c r="J35" s="13" t="n">
        <f aca="false">'07_Planung &amp; Agenda'!$L$33</f>
        <v>2500000</v>
      </c>
    </row>
    <row r="37" customFormat="false" ht="15" hidden="false" customHeight="false" outlineLevel="0" collapsed="false">
      <c r="B37" s="5" t="s">
        <v>200</v>
      </c>
    </row>
    <row r="38" customFormat="false" ht="19.5" hidden="false" customHeight="true" outlineLevel="0" collapsed="false">
      <c r="B38" s="6" t="s">
        <v>51</v>
      </c>
      <c r="C38" s="7" t="s">
        <v>6</v>
      </c>
      <c r="D38" s="6" t="s">
        <v>7</v>
      </c>
    </row>
    <row r="39" customFormat="false" ht="15" hidden="false" customHeight="false" outlineLevel="0" collapsed="false">
      <c r="B39" s="8" t="s">
        <v>201</v>
      </c>
      <c r="C39" s="11" t="n">
        <f aca="false">08_Annahmen!$C$43</f>
        <v>120</v>
      </c>
      <c r="D39" s="8" t="s">
        <v>202</v>
      </c>
    </row>
    <row r="40" customFormat="false" ht="15" hidden="false" customHeight="false" outlineLevel="0" collapsed="false">
      <c r="B40" s="8" t="s">
        <v>203</v>
      </c>
      <c r="C40" s="11" t="n">
        <f aca="false">08_Annahmen!$C$44</f>
        <v>3500</v>
      </c>
      <c r="D40" s="8" t="s">
        <v>18</v>
      </c>
    </row>
    <row r="41" customFormat="false" ht="15" hidden="false" customHeight="false" outlineLevel="0" collapsed="false">
      <c r="B41" s="8" t="s">
        <v>204</v>
      </c>
      <c r="C41" s="11" t="n">
        <f aca="false">08_Annahmen!$C$45</f>
        <v>80</v>
      </c>
      <c r="D41" s="8" t="s">
        <v>205</v>
      </c>
    </row>
    <row r="42" customFormat="false" ht="15" hidden="false" customHeight="false" outlineLevel="0" collapsed="false">
      <c r="B42" s="8" t="s">
        <v>206</v>
      </c>
      <c r="C42" s="11" t="n">
        <f aca="false">08_Annahmen!$C$46</f>
        <v>2000</v>
      </c>
      <c r="D42" s="8" t="s">
        <v>18</v>
      </c>
    </row>
    <row r="43" customFormat="false" ht="15" hidden="false" customHeight="false" outlineLevel="0" collapsed="false">
      <c r="B43" s="12" t="s">
        <v>207</v>
      </c>
      <c r="C43" s="13" t="n">
        <f aca="false">08_Annahmen!$C$49</f>
        <v>580000</v>
      </c>
      <c r="D43" s="8" t="s">
        <v>208</v>
      </c>
    </row>
    <row r="44" customFormat="false" ht="15" hidden="false" customHeight="false" outlineLevel="0" collapsed="false">
      <c r="B44" s="8" t="s">
        <v>209</v>
      </c>
      <c r="C44" s="11" t="n">
        <f aca="false">08_Annahmen!$C$56</f>
        <v>90</v>
      </c>
      <c r="D44" s="8" t="s">
        <v>164</v>
      </c>
    </row>
    <row r="45" customFormat="false" ht="15" hidden="false" customHeight="false" outlineLevel="0" collapsed="false">
      <c r="B45" s="8" t="s">
        <v>210</v>
      </c>
      <c r="C45" s="11" t="n">
        <f aca="false">08_Annahmen!$C$57</f>
        <v>12</v>
      </c>
      <c r="D45" s="8" t="s">
        <v>211</v>
      </c>
    </row>
    <row r="46" customFormat="false" ht="15" hidden="false" customHeight="false" outlineLevel="0" collapsed="false">
      <c r="B46" s="8" t="s">
        <v>212</v>
      </c>
      <c r="C46" s="11" t="n">
        <f aca="false">08_Annahmen!$C$60</f>
        <v>235980</v>
      </c>
      <c r="D46" s="8" t="s">
        <v>208</v>
      </c>
    </row>
    <row r="47" customFormat="false" ht="15" hidden="false" customHeight="false" outlineLevel="0" collapsed="false">
      <c r="B47" s="8" t="s">
        <v>213</v>
      </c>
      <c r="C47" s="11" t="n">
        <f aca="false">08_Annahmen!$C$64</f>
        <v>120000</v>
      </c>
      <c r="D47" s="8" t="s">
        <v>208</v>
      </c>
    </row>
    <row r="48" customFormat="false" ht="15" hidden="false" customHeight="false" outlineLevel="0" collapsed="false">
      <c r="B48" s="8" t="s">
        <v>214</v>
      </c>
      <c r="C48" s="11" t="n">
        <f aca="false">08_Annahmen!$C$70</f>
        <v>29700</v>
      </c>
      <c r="D48" s="8" t="s">
        <v>208</v>
      </c>
    </row>
    <row r="49" customFormat="false" ht="15" hidden="false" customHeight="false" outlineLevel="0" collapsed="false">
      <c r="B49" s="12" t="s">
        <v>215</v>
      </c>
      <c r="C49" s="13" t="n">
        <f aca="false">08_Annahmen!$C$71</f>
        <v>385680</v>
      </c>
      <c r="D49" s="8" t="s">
        <v>208</v>
      </c>
    </row>
    <row r="51" customFormat="false" ht="15" hidden="false" customHeight="false" outlineLevel="0" collapsed="false">
      <c r="B51" s="5" t="s">
        <v>193</v>
      </c>
    </row>
    <row r="52" customFormat="false" ht="30" hidden="false" customHeight="true" outlineLevel="0" collapsed="false">
      <c r="B52" s="6" t="s">
        <v>74</v>
      </c>
      <c r="C52" s="6" t="s">
        <v>119</v>
      </c>
      <c r="D52" s="6" t="s">
        <v>103</v>
      </c>
      <c r="E52" s="6" t="s">
        <v>120</v>
      </c>
      <c r="F52" s="7" t="s">
        <v>121</v>
      </c>
      <c r="G52" s="7" t="s">
        <v>122</v>
      </c>
      <c r="H52" s="7" t="s">
        <v>80</v>
      </c>
    </row>
    <row r="53" customFormat="false" ht="15" hidden="false" customHeight="false" outlineLevel="0" collapsed="false">
      <c r="B53" s="9" t="str">
        <f aca="false">02_Flächenspiegel!$B$49</f>
        <v>Spitex Umbau</v>
      </c>
      <c r="C53" s="9" t="str">
        <f aca="false">02_Flächenspiegel!$C$49</f>
        <v>EG</v>
      </c>
      <c r="D53" s="9" t="str">
        <f aca="false">02_Flächenspiegel!$D$49</f>
        <v>Wohnen</v>
      </c>
      <c r="E53" s="9" t="str">
        <f aca="false">02_Flächenspiegel!$E$49</f>
        <v>Gemeinschaftszone 1</v>
      </c>
      <c r="F53" s="36" t="n">
        <f aca="false">02_Flächenspiegel!$F$49</f>
        <v>71.56</v>
      </c>
      <c r="G53" s="11" t="n">
        <f aca="false">02_Flächenspiegel!$G$49</f>
        <v>1</v>
      </c>
      <c r="H53" s="36" t="n">
        <f aca="false">02_Flächenspiegel!$J$49</f>
        <v>71.56</v>
      </c>
    </row>
    <row r="54" customFormat="false" ht="15" hidden="false" customHeight="false" outlineLevel="0" collapsed="false">
      <c r="B54" s="9" t="str">
        <f aca="false">02_Flächenspiegel!$B$50</f>
        <v>Spitex Umbau</v>
      </c>
      <c r="C54" s="9" t="str">
        <f aca="false">02_Flächenspiegel!$C$50</f>
        <v>EG</v>
      </c>
      <c r="D54" s="9" t="str">
        <f aca="false">02_Flächenspiegel!$D$50</f>
        <v>Wohnen</v>
      </c>
      <c r="E54" s="9" t="str">
        <f aca="false">02_Flächenspiegel!$E$50</f>
        <v>Einzelstudio</v>
      </c>
      <c r="F54" s="36" t="n">
        <f aca="false">02_Flächenspiegel!$F$50</f>
        <v>26.88</v>
      </c>
      <c r="G54" s="11" t="n">
        <f aca="false">02_Flächenspiegel!$G$50</f>
        <v>3</v>
      </c>
      <c r="H54" s="36" t="n">
        <f aca="false">02_Flächenspiegel!$J$50</f>
        <v>80.64</v>
      </c>
    </row>
    <row r="55" customFormat="false" ht="15" hidden="false" customHeight="false" outlineLevel="0" collapsed="false">
      <c r="B55" s="9" t="str">
        <f aca="false">02_Flächenspiegel!$B$51</f>
        <v>Spitex Umbau</v>
      </c>
      <c r="C55" s="9" t="str">
        <f aca="false">02_Flächenspiegel!$C$51</f>
        <v>EG</v>
      </c>
      <c r="D55" s="9" t="str">
        <f aca="false">02_Flächenspiegel!$D$51</f>
        <v>Wohnen</v>
      </c>
      <c r="E55" s="9" t="str">
        <f aca="false">02_Flächenspiegel!$E$51</f>
        <v>4.5 Zi.-Whg.</v>
      </c>
      <c r="F55" s="36" t="n">
        <f aca="false">02_Flächenspiegel!$F$51</f>
        <v>147.54</v>
      </c>
      <c r="G55" s="11" t="n">
        <f aca="false">02_Flächenspiegel!$G$51</f>
        <v>1</v>
      </c>
      <c r="H55" s="36" t="n">
        <f aca="false">02_Flächenspiegel!$J$51</f>
        <v>147.54</v>
      </c>
    </row>
    <row r="56" customFormat="false" ht="15" hidden="false" customHeight="false" outlineLevel="0" collapsed="false">
      <c r="B56" s="9" t="str">
        <f aca="false">02_Flächenspiegel!$B$52</f>
        <v>Spitex Umbau</v>
      </c>
      <c r="C56" s="9" t="str">
        <f aca="false">02_Flächenspiegel!$C$52</f>
        <v>OG</v>
      </c>
      <c r="D56" s="9" t="str">
        <f aca="false">02_Flächenspiegel!$D$52</f>
        <v>Wohnen</v>
      </c>
      <c r="E56" s="9" t="str">
        <f aca="false">02_Flächenspiegel!$E$52</f>
        <v>Gemeinschaftszone 1</v>
      </c>
      <c r="F56" s="36" t="n">
        <f aca="false">02_Flächenspiegel!$F$52</f>
        <v>122.14</v>
      </c>
      <c r="G56" s="11" t="n">
        <f aca="false">02_Flächenspiegel!$G$52</f>
        <v>1</v>
      </c>
      <c r="H56" s="36" t="n">
        <f aca="false">02_Flächenspiegel!$J$52</f>
        <v>122.14</v>
      </c>
    </row>
    <row r="57" customFormat="false" ht="15" hidden="false" customHeight="false" outlineLevel="0" collapsed="false">
      <c r="B57" s="9" t="str">
        <f aca="false">02_Flächenspiegel!$B$53</f>
        <v>Spitex Umbau</v>
      </c>
      <c r="C57" s="9" t="str">
        <f aca="false">02_Flächenspiegel!$C$53</f>
        <v>OG</v>
      </c>
      <c r="D57" s="9" t="str">
        <f aca="false">02_Flächenspiegel!$D$53</f>
        <v>Wohnen</v>
      </c>
      <c r="E57" s="9" t="str">
        <f aca="false">02_Flächenspiegel!$E$53</f>
        <v>Gemeinschaftszone 2</v>
      </c>
      <c r="F57" s="36" t="n">
        <f aca="false">02_Flächenspiegel!$F$53</f>
        <v>65.26</v>
      </c>
      <c r="G57" s="11" t="n">
        <f aca="false">02_Flächenspiegel!$G$53</f>
        <v>1</v>
      </c>
      <c r="H57" s="36" t="n">
        <f aca="false">02_Flächenspiegel!$J$53</f>
        <v>65.26</v>
      </c>
    </row>
    <row r="58" customFormat="false" ht="15" hidden="false" customHeight="false" outlineLevel="0" collapsed="false">
      <c r="B58" s="9" t="str">
        <f aca="false">02_Flächenspiegel!$B$54</f>
        <v>Spitex Umbau</v>
      </c>
      <c r="C58" s="9" t="str">
        <f aca="false">02_Flächenspiegel!$C$54</f>
        <v>OG</v>
      </c>
      <c r="D58" s="9" t="str">
        <f aca="false">02_Flächenspiegel!$D$54</f>
        <v>Wohnen</v>
      </c>
      <c r="E58" s="9" t="str">
        <f aca="false">02_Flächenspiegel!$E$54</f>
        <v>Einzelstudio</v>
      </c>
      <c r="F58" s="36" t="n">
        <f aca="false">02_Flächenspiegel!$F$54</f>
        <v>26.88</v>
      </c>
      <c r="G58" s="11" t="n">
        <f aca="false">02_Flächenspiegel!$G$54</f>
        <v>5</v>
      </c>
      <c r="H58" s="36" t="n">
        <f aca="false">02_Flächenspiegel!$J$54</f>
        <v>134.4</v>
      </c>
    </row>
    <row r="59" customFormat="false" ht="15" hidden="false" customHeight="false" outlineLevel="0" collapsed="false">
      <c r="B59" s="9" t="str">
        <f aca="false">02_Flächenspiegel!$B$55</f>
        <v>Spitex Umbau</v>
      </c>
      <c r="C59" s="9" t="str">
        <f aca="false">02_Flächenspiegel!$C$55</f>
        <v>AT</v>
      </c>
      <c r="D59" s="9" t="str">
        <f aca="false">02_Flächenspiegel!$D$55</f>
        <v>Wohnen</v>
      </c>
      <c r="E59" s="9" t="str">
        <f aca="false">02_Flächenspiegel!$E$55</f>
        <v>Gemeinschaftszone</v>
      </c>
      <c r="F59" s="36" t="n">
        <f aca="false">02_Flächenspiegel!$F$55</f>
        <v>71.8</v>
      </c>
      <c r="G59" s="11" t="n">
        <f aca="false">02_Flächenspiegel!$G$55</f>
        <v>1</v>
      </c>
      <c r="H59" s="36" t="n">
        <f aca="false">02_Flächenspiegel!$J$55</f>
        <v>71.8</v>
      </c>
    </row>
    <row r="60" customFormat="false" ht="15" hidden="false" customHeight="false" outlineLevel="0" collapsed="false">
      <c r="B60" s="9" t="str">
        <f aca="false">02_Flächenspiegel!$B$56</f>
        <v>Spitex Umbau</v>
      </c>
      <c r="C60" s="9" t="str">
        <f aca="false">02_Flächenspiegel!$C$56</f>
        <v>AT</v>
      </c>
      <c r="D60" s="9" t="str">
        <f aca="false">02_Flächenspiegel!$D$56</f>
        <v>Wohnen</v>
      </c>
      <c r="E60" s="9" t="str">
        <f aca="false">02_Flächenspiegel!$E$56</f>
        <v>Einzelstudio</v>
      </c>
      <c r="F60" s="36" t="n">
        <f aca="false">02_Flächenspiegel!$F$56</f>
        <v>26.88</v>
      </c>
      <c r="G60" s="11" t="n">
        <f aca="false">02_Flächenspiegel!$G$56</f>
        <v>4</v>
      </c>
      <c r="H60" s="36" t="n">
        <f aca="false">02_Flächenspiegel!$J$56</f>
        <v>107.52</v>
      </c>
    </row>
    <row r="61" customFormat="false" ht="15" hidden="false" customHeight="false" outlineLevel="0" collapsed="false">
      <c r="B61" s="9" t="str">
        <f aca="false">02_Flächenspiegel!$B$43</f>
        <v>Concierge ACE</v>
      </c>
      <c r="C61" s="9" t="str">
        <f aca="false">02_Flächenspiegel!$C$43</f>
        <v>UG</v>
      </c>
      <c r="D61" s="9" t="str">
        <f aca="false">02_Flächenspiegel!$D$43</f>
        <v>Gewerbe</v>
      </c>
      <c r="E61" s="9" t="str">
        <f aca="false">02_Flächenspiegel!$E$43</f>
        <v>Eventsaal, abgesenkt, doppelgeschossig</v>
      </c>
      <c r="F61" s="36" t="n">
        <f aca="false">02_Flächenspiegel!$F$43</f>
        <v>1013.66</v>
      </c>
      <c r="G61" s="11" t="n">
        <f aca="false">02_Flächenspiegel!$G$43</f>
        <v>1</v>
      </c>
      <c r="H61" s="36" t="n">
        <f aca="false">02_Flächenspiegel!$J$43</f>
        <v>1013.66</v>
      </c>
    </row>
    <row r="62" customFormat="false" ht="15" hidden="false" customHeight="false" outlineLevel="0" collapsed="false">
      <c r="B62" s="9" t="str">
        <f aca="false">02_Flächenspiegel!$B$44</f>
        <v>Concierge ACE</v>
      </c>
      <c r="C62" s="9" t="str">
        <f aca="false">02_Flächenspiegel!$C$44</f>
        <v>EG</v>
      </c>
      <c r="D62" s="9" t="str">
        <f aca="false">02_Flächenspiegel!$D$44</f>
        <v>Gewerbe</v>
      </c>
      <c r="E62" s="9" t="str">
        <f aca="false">02_Flächenspiegel!$E$44</f>
        <v>Gewerbefläche EG</v>
      </c>
      <c r="F62" s="36" t="n">
        <f aca="false">02_Flächenspiegel!$F$44</f>
        <v>1331.76</v>
      </c>
      <c r="G62" s="11" t="n">
        <f aca="false">02_Flächenspiegel!$G$44</f>
        <v>1</v>
      </c>
      <c r="H62" s="36" t="n">
        <f aca="false">02_Flächenspiegel!$J$44</f>
        <v>1331.76</v>
      </c>
    </row>
    <row r="63" customFormat="false" ht="15" hidden="false" customHeight="false" outlineLevel="0" collapsed="false">
      <c r="B63" s="9" t="str">
        <f aca="false">02_Flächenspiegel!$B$45</f>
        <v>Concierge ACE</v>
      </c>
      <c r="C63" s="9" t="str">
        <f aca="false">02_Flächenspiegel!$C$45</f>
        <v>OG1</v>
      </c>
      <c r="D63" s="9" t="str">
        <f aca="false">02_Flächenspiegel!$D$45</f>
        <v>Wohnen</v>
      </c>
      <c r="E63" s="9" t="str">
        <f aca="false">02_Flächenspiegel!$E$45</f>
        <v>Studio</v>
      </c>
      <c r="F63" s="36" t="n">
        <f aca="false">02_Flächenspiegel!$F$45</f>
        <v>30</v>
      </c>
      <c r="G63" s="11" t="n">
        <f aca="false">02_Flächenspiegel!$G$45</f>
        <v>8</v>
      </c>
      <c r="H63" s="36" t="n">
        <f aca="false">02_Flächenspiegel!$J$45</f>
        <v>240</v>
      </c>
    </row>
    <row r="64" customFormat="false" ht="15" hidden="false" customHeight="false" outlineLevel="0" collapsed="false">
      <c r="B64" s="9" t="str">
        <f aca="false">02_Flächenspiegel!$B$46</f>
        <v>Concierge ACE</v>
      </c>
      <c r="C64" s="9" t="str">
        <f aca="false">02_Flächenspiegel!$C$46</f>
        <v>OG1</v>
      </c>
      <c r="D64" s="9" t="str">
        <f aca="false">02_Flächenspiegel!$D$46</f>
        <v>Wohnen</v>
      </c>
      <c r="E64" s="9" t="str">
        <f aca="false">02_Flächenspiegel!$E$46</f>
        <v>Residenz (Ø-Grösse, 1'006.87 m² ÷ 13) ¹</v>
      </c>
      <c r="F64" s="36" t="n">
        <f aca="false">02_Flächenspiegel!$F$46</f>
        <v>77.4515</v>
      </c>
      <c r="G64" s="11" t="n">
        <f aca="false">02_Flächenspiegel!$G$46</f>
        <v>13</v>
      </c>
      <c r="H64" s="36" t="n">
        <f aca="false">02_Flächenspiegel!$J$46</f>
        <v>1006.8695</v>
      </c>
    </row>
    <row r="65" customFormat="false" ht="15" hidden="false" customHeight="false" outlineLevel="0" collapsed="false">
      <c r="B65" s="9" t="str">
        <f aca="false">02_Flächenspiegel!$B$47</f>
        <v>Concierge ACE</v>
      </c>
      <c r="C65" s="9" t="str">
        <f aca="false">02_Flächenspiegel!$C$47</f>
        <v>OG2</v>
      </c>
      <c r="D65" s="9" t="str">
        <f aca="false">02_Flächenspiegel!$D$47</f>
        <v>Wohnen</v>
      </c>
      <c r="E65" s="9" t="str">
        <f aca="false">02_Flächenspiegel!$E$47</f>
        <v>Studio</v>
      </c>
      <c r="F65" s="36" t="n">
        <f aca="false">02_Flächenspiegel!$F$47</f>
        <v>24.95</v>
      </c>
      <c r="G65" s="11" t="n">
        <f aca="false">02_Flächenspiegel!$G$47</f>
        <v>11</v>
      </c>
      <c r="H65" s="36" t="n">
        <f aca="false">02_Flächenspiegel!$J$47</f>
        <v>274.45</v>
      </c>
    </row>
    <row r="66" customFormat="false" ht="15" hidden="false" customHeight="false" outlineLevel="0" collapsed="false">
      <c r="B66" s="9" t="str">
        <f aca="false">02_Flächenspiegel!$B$48</f>
        <v>Concierge ACE</v>
      </c>
      <c r="C66" s="9" t="str">
        <f aca="false">02_Flächenspiegel!$C$48</f>
        <v>OG2</v>
      </c>
      <c r="D66" s="9" t="str">
        <f aca="false">02_Flächenspiegel!$D$48</f>
        <v>Wohnen</v>
      </c>
      <c r="E66" s="9" t="str">
        <f aca="false">02_Flächenspiegel!$E$48</f>
        <v>Residenz (Ø-Grösse, 254.00 m² ÷ 3) ¹</v>
      </c>
      <c r="F66" s="36" t="n">
        <f aca="false">02_Flächenspiegel!$F$48</f>
        <v>84.6667</v>
      </c>
      <c r="G66" s="11" t="n">
        <f aca="false">02_Flächenspiegel!$G$48</f>
        <v>3</v>
      </c>
      <c r="H66" s="36" t="n">
        <f aca="false">02_Flächenspiegel!$J$48</f>
        <v>254.0001</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J6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34"/>
    <col collapsed="false" customWidth="true" hidden="false" outlineLevel="0" max="3" min="3" style="0" width="16"/>
    <col collapsed="false" customWidth="true" hidden="false" outlineLevel="0" max="4" min="4" style="0" width="14"/>
    <col collapsed="false" customWidth="true" hidden="false" outlineLevel="0" max="5" min="5" style="0" width="13"/>
    <col collapsed="false" customWidth="true" hidden="false" outlineLevel="0" max="6" min="6" style="0" width="30"/>
    <col collapsed="false" customWidth="true" hidden="false" outlineLevel="0" max="7" min="7" style="0" width="15"/>
    <col collapsed="false" customWidth="true" hidden="false" outlineLevel="0" max="8" min="8" style="0" width="12"/>
    <col collapsed="false" customWidth="true" hidden="false" outlineLevel="0" max="10" min="9" style="0" width="15"/>
  </cols>
  <sheetData>
    <row r="2" customFormat="false" ht="19.7" hidden="false" customHeight="false" outlineLevel="0" collapsed="false">
      <c r="B2" s="26" t="s">
        <v>216</v>
      </c>
    </row>
    <row r="3" customFormat="false" ht="15" hidden="false" customHeight="false" outlineLevel="0" collapsed="false">
      <c r="B3" s="4" t="s">
        <v>217</v>
      </c>
    </row>
    <row r="5" customFormat="false" ht="15" hidden="false" customHeight="false" outlineLevel="0" collapsed="false">
      <c r="B5" s="5" t="s">
        <v>154</v>
      </c>
      <c r="F5" s="5" t="s">
        <v>155</v>
      </c>
    </row>
    <row r="6" customFormat="false" ht="19.5" hidden="false" customHeight="true" outlineLevel="0" collapsed="false">
      <c r="B6" s="6" t="s">
        <v>5</v>
      </c>
      <c r="C6" s="7" t="s">
        <v>6</v>
      </c>
      <c r="D6" s="6" t="s">
        <v>7</v>
      </c>
      <c r="F6" s="6" t="s">
        <v>5</v>
      </c>
      <c r="G6" s="7" t="s">
        <v>6</v>
      </c>
      <c r="H6" s="6" t="s">
        <v>7</v>
      </c>
    </row>
    <row r="7" customFormat="false" ht="15" hidden="false" customHeight="false" outlineLevel="0" collapsed="false">
      <c r="B7" s="8" t="s">
        <v>11</v>
      </c>
      <c r="C7" s="11" t="n">
        <f aca="false">01_Kennwerte!$J$11+01_Kennwerte!$J$10</f>
        <v>6443</v>
      </c>
      <c r="D7" s="8" t="s">
        <v>12</v>
      </c>
      <c r="F7" s="8" t="s">
        <v>156</v>
      </c>
      <c r="G7" s="42" t="n">
        <f aca="false">16_Residualwert!$D$73</f>
        <v>37</v>
      </c>
      <c r="H7" s="8" t="s">
        <v>30</v>
      </c>
    </row>
    <row r="8" customFormat="false" ht="15" hidden="false" customHeight="false" outlineLevel="0" collapsed="false">
      <c r="B8" s="8" t="s">
        <v>157</v>
      </c>
      <c r="C8" s="11" t="n">
        <f aca="false">01_Kennwerte!$N$11+01_Kennwerte!$N$10</f>
        <v>11542</v>
      </c>
      <c r="D8" s="8" t="s">
        <v>12</v>
      </c>
      <c r="F8" s="8" t="s">
        <v>158</v>
      </c>
      <c r="G8" s="42" t="n">
        <f aca="false">16_Residualwert!$E$73</f>
        <v>27.2637281984441</v>
      </c>
      <c r="H8" s="8" t="s">
        <v>30</v>
      </c>
    </row>
    <row r="9" customFormat="false" ht="15" hidden="false" customHeight="false" outlineLevel="0" collapsed="false">
      <c r="B9" s="8" t="s">
        <v>159</v>
      </c>
      <c r="C9" s="11" t="n">
        <f aca="false">01_Kennwerte!$K$11+01_Kennwerte!$K$10</f>
        <v>38620</v>
      </c>
      <c r="D9" s="8" t="s">
        <v>15</v>
      </c>
      <c r="F9" s="8" t="s">
        <v>160</v>
      </c>
      <c r="G9" s="42" t="n">
        <f aca="false">16_Residualwert!$F$73</f>
        <v>0</v>
      </c>
      <c r="H9" s="8" t="s">
        <v>30</v>
      </c>
    </row>
    <row r="10" customFormat="false" ht="15" hidden="false" customHeight="false" outlineLevel="0" collapsed="false">
      <c r="B10" s="8" t="s">
        <v>161</v>
      </c>
      <c r="C10" s="11" t="n">
        <f aca="false">01_Kennwerte!$M$11+01_Kennwerte!$M$10</f>
        <v>10482</v>
      </c>
      <c r="D10" s="8" t="s">
        <v>15</v>
      </c>
      <c r="F10" s="15" t="s">
        <v>34</v>
      </c>
      <c r="G10" s="43" t="n">
        <f aca="false">16_Residualwert!$G$73</f>
        <v>9.73627180155594</v>
      </c>
      <c r="H10" s="17" t="s">
        <v>30</v>
      </c>
    </row>
    <row r="11" customFormat="false" ht="15" hidden="false" customHeight="false" outlineLevel="0" collapsed="false">
      <c r="B11" s="8" t="s">
        <v>162</v>
      </c>
      <c r="C11" s="11" t="n">
        <f aca="false">01_Kennwerte!$O$11+01_Kennwerte!$O$10</f>
        <v>49102</v>
      </c>
      <c r="D11" s="8" t="s">
        <v>15</v>
      </c>
      <c r="F11" s="8" t="s">
        <v>22</v>
      </c>
      <c r="G11" s="42" t="n">
        <f aca="false">16_Residualwert!$H$73</f>
        <v>37.0484409625339</v>
      </c>
      <c r="H11" s="8" t="s">
        <v>30</v>
      </c>
    </row>
    <row r="12" customFormat="false" ht="15" hidden="false" customHeight="false" outlineLevel="0" collapsed="false">
      <c r="B12" s="8" t="s">
        <v>163</v>
      </c>
      <c r="C12" s="11" t="n">
        <f aca="false">01_Kennwerte!$P$11+01_Kennwerte!$P$10</f>
        <v>37</v>
      </c>
      <c r="D12" s="8" t="s">
        <v>164</v>
      </c>
      <c r="F12" s="8" t="s">
        <v>165</v>
      </c>
      <c r="G12" s="42" t="n">
        <f aca="false">16_Residualwert!$I$73</f>
        <v>9.78471276408983</v>
      </c>
      <c r="H12" s="8" t="s">
        <v>30</v>
      </c>
    </row>
    <row r="13" customFormat="false" ht="15" hidden="false" customHeight="false" outlineLevel="0" collapsed="false">
      <c r="B13" s="8" t="s">
        <v>166</v>
      </c>
      <c r="C13" s="11" t="n">
        <f aca="false">01_Kennwerte!$Q$11+01_Kennwerte!$Q$10</f>
        <v>48</v>
      </c>
      <c r="D13" s="8" t="s">
        <v>164</v>
      </c>
      <c r="F13" s="8" t="s">
        <v>167</v>
      </c>
      <c r="G13" s="42" t="n">
        <f aca="false">16_Residualwert!$J$73</f>
        <v>35.1543734254442</v>
      </c>
      <c r="H13" s="8" t="s">
        <v>30</v>
      </c>
    </row>
    <row r="14" customFormat="false" ht="15" hidden="false" customHeight="false" outlineLevel="0" collapsed="false">
      <c r="B14" s="8" t="s">
        <v>168</v>
      </c>
      <c r="C14" s="11" t="n">
        <f aca="false">01_Kennwerte!$S$11+01_Kennwerte!$S$10</f>
        <v>58</v>
      </c>
      <c r="D14" s="8" t="s">
        <v>122</v>
      </c>
      <c r="F14" s="8" t="s">
        <v>169</v>
      </c>
      <c r="G14" s="19" t="n">
        <f aca="false">16_Residualwert!$K$73</f>
        <v>2</v>
      </c>
      <c r="H14" s="8" t="s">
        <v>30</v>
      </c>
    </row>
    <row r="15" customFormat="false" ht="15" hidden="false" customHeight="false" outlineLevel="0" collapsed="false">
      <c r="B15" s="8" t="s">
        <v>170</v>
      </c>
      <c r="C15" s="11" t="n">
        <f aca="false">01_Kennwerte!$T$11+01_Kennwerte!$T$10</f>
        <v>60</v>
      </c>
      <c r="D15" s="8" t="s">
        <v>122</v>
      </c>
      <c r="F15" s="8" t="s">
        <v>171</v>
      </c>
      <c r="G15" s="44" t="n">
        <f aca="false">16_Residualwert!$L$73</f>
        <v>0.0733575388311765</v>
      </c>
      <c r="H15" s="8" t="s">
        <v>172</v>
      </c>
    </row>
    <row r="17" customFormat="false" ht="15" hidden="false" customHeight="false" outlineLevel="0" collapsed="false">
      <c r="B17" s="5" t="s">
        <v>173</v>
      </c>
    </row>
    <row r="18" customFormat="false" ht="19.5" hidden="false" customHeight="true" outlineLevel="0" collapsed="false">
      <c r="B18" s="6" t="s">
        <v>174</v>
      </c>
      <c r="C18" s="7" t="s">
        <v>175</v>
      </c>
      <c r="D18" s="7" t="s">
        <v>176</v>
      </c>
      <c r="E18" s="7" t="s">
        <v>177</v>
      </c>
    </row>
    <row r="19" customFormat="false" ht="15" hidden="false" customHeight="false" outlineLevel="0" collapsed="false">
      <c r="B19" s="9" t="str">
        <f aca="false">'07_Planung &amp; Agenda'!$D$19</f>
        <v>–</v>
      </c>
      <c r="C19" s="9" t="str">
        <f aca="false">'07_Planung &amp; Agenda'!$E$19</f>
        <v>Q2 2027</v>
      </c>
      <c r="D19" s="9" t="str">
        <f aca="false">'07_Planung &amp; Agenda'!$F$19</f>
        <v>Q2 2028</v>
      </c>
      <c r="E19" s="9" t="str">
        <f aca="false">'07_Planung &amp; Agenda'!$G$19</f>
        <v>Q1 2030</v>
      </c>
    </row>
    <row r="21" customFormat="false" ht="15" hidden="false" customHeight="false" outlineLevel="0" collapsed="false">
      <c r="B21" s="5" t="s">
        <v>178</v>
      </c>
    </row>
    <row r="22" customFormat="false" ht="31.5" hidden="false" customHeight="true" outlineLevel="0" collapsed="false">
      <c r="B22" s="6" t="s">
        <v>74</v>
      </c>
      <c r="C22" s="6" t="s">
        <v>103</v>
      </c>
      <c r="D22" s="7" t="s">
        <v>40</v>
      </c>
      <c r="E22" s="7" t="s">
        <v>113</v>
      </c>
      <c r="F22" s="7" t="s">
        <v>52</v>
      </c>
      <c r="G22" s="7" t="s">
        <v>53</v>
      </c>
      <c r="H22" s="7" t="s">
        <v>54</v>
      </c>
      <c r="I22" s="7" t="s">
        <v>43</v>
      </c>
      <c r="J22" s="7" t="s">
        <v>179</v>
      </c>
    </row>
    <row r="23" customFormat="false" ht="15" hidden="false" customHeight="false" outlineLevel="0" collapsed="false">
      <c r="B23" s="8" t="s">
        <v>100</v>
      </c>
      <c r="C23" s="8" t="s">
        <v>218</v>
      </c>
      <c r="D23" s="11" t="n">
        <f aca="false">12_Ertragsrechnung!$E$15</f>
        <v>801.24</v>
      </c>
      <c r="E23" s="45" t="n">
        <f aca="false">12_Ertragsrechnung!$F$15</f>
        <v>22</v>
      </c>
      <c r="F23" s="11" t="n">
        <f aca="false">12_Ertragsrechnung!$H$15</f>
        <v>478208.712496466</v>
      </c>
      <c r="G23" s="11" t="n">
        <f aca="false">12_Ertragsrechnung!$N$15</f>
        <v>334746.098747526</v>
      </c>
      <c r="H23" s="14" t="n">
        <f aca="false">13_Bewertung!$F$16</f>
        <v>0.052</v>
      </c>
      <c r="I23" s="13" t="n">
        <f aca="false">13_Bewertung!$G$16</f>
        <v>6437424.97591396</v>
      </c>
      <c r="J23" s="11" t="n">
        <f aca="false">13_Bewertung!$J$16</f>
        <v>6082343.35688059</v>
      </c>
    </row>
    <row r="24" customFormat="false" ht="15" hidden="false" customHeight="false" outlineLevel="0" collapsed="false">
      <c r="B24" s="8" t="s">
        <v>100</v>
      </c>
      <c r="C24" s="8" t="s">
        <v>130</v>
      </c>
      <c r="D24" s="11" t="n">
        <f aca="false">12_Ertragsrechnung!$E$16</f>
        <v>718.92</v>
      </c>
      <c r="E24" s="45" t="n">
        <f aca="false">12_Ertragsrechnung!$F$16</f>
        <v>20</v>
      </c>
      <c r="F24" s="11" t="n">
        <f aca="false">12_Ertragsrechnung!$H$16</f>
        <v>197381.799159465</v>
      </c>
      <c r="G24" s="11" t="n">
        <f aca="false">12_Ertragsrechnung!$N$16</f>
        <v>167774.529285546</v>
      </c>
      <c r="H24" s="14" t="n">
        <f aca="false">13_Bewertung!$F$17</f>
        <v>0.051</v>
      </c>
      <c r="I24" s="13" t="n">
        <f aca="false">13_Bewertung!$G$17</f>
        <v>3289696.65265776</v>
      </c>
      <c r="J24" s="11" t="n">
        <f aca="false">13_Bewertung!$J$17</f>
        <v>3124672.2449409</v>
      </c>
    </row>
    <row r="25" customFormat="false" ht="15" hidden="false" customHeight="false" outlineLevel="0" collapsed="false">
      <c r="B25" s="8" t="s">
        <v>100</v>
      </c>
      <c r="C25" s="8" t="s">
        <v>107</v>
      </c>
      <c r="D25" s="11" t="n">
        <f aca="false">12_Ertragsrechnung!$E$17</f>
        <v>1020.12</v>
      </c>
      <c r="E25" s="45" t="n">
        <f aca="false">12_Ertragsrechnung!$F$17</f>
        <v>4</v>
      </c>
      <c r="F25" s="11" t="n">
        <f aca="false">12_Ertragsrechnung!$H$17</f>
        <v>193205.830956485</v>
      </c>
      <c r="G25" s="11" t="n">
        <f aca="false">12_Ertragsrechnung!$N$17</f>
        <v>168089.072932142</v>
      </c>
      <c r="H25" s="14" t="n">
        <f aca="false">13_Bewertung!$F$18</f>
        <v>0.056</v>
      </c>
      <c r="I25" s="13" t="n">
        <f aca="false">13_Bewertung!$G$18</f>
        <v>3001590.58807396</v>
      </c>
      <c r="J25" s="11" t="n">
        <f aca="false">13_Bewertung!$J$18</f>
        <v>2862142.8479617</v>
      </c>
    </row>
    <row r="26" customFormat="false" ht="15" hidden="false" customHeight="false" outlineLevel="0" collapsed="false">
      <c r="B26" s="8" t="s">
        <v>100</v>
      </c>
      <c r="C26" s="8" t="s">
        <v>180</v>
      </c>
      <c r="D26" s="11" t="str">
        <f aca="false">12_Ertragsrechnung!$E$18</f>
        <v>—</v>
      </c>
      <c r="E26" s="45" t="n">
        <f aca="false">12_Ertragsrechnung!$F$18</f>
        <v>49.3754</v>
      </c>
      <c r="F26" s="11" t="n">
        <f aca="false">12_Ertragsrechnung!$H$18</f>
        <v>97763.292</v>
      </c>
      <c r="G26" s="11" t="n">
        <f aca="false">12_Ertragsrechnung!$N$18</f>
        <v>85054.06404</v>
      </c>
      <c r="H26" s="14" t="n">
        <f aca="false">13_Bewertung!$F$19</f>
        <v>0.045</v>
      </c>
      <c r="I26" s="13" t="n">
        <f aca="false">13_Bewertung!$G$19</f>
        <v>1890090.312</v>
      </c>
      <c r="J26" s="11" t="n">
        <f aca="false">13_Bewertung!$J$19</f>
        <v>1802703.56127679</v>
      </c>
    </row>
    <row r="27" customFormat="false" ht="15" hidden="false" customHeight="false" outlineLevel="0" collapsed="false">
      <c r="B27" s="8" t="s">
        <v>99</v>
      </c>
      <c r="C27" s="8" t="s">
        <v>218</v>
      </c>
      <c r="D27" s="11" t="n">
        <f aca="false">12_Ertragsrechnung!$E$19</f>
        <v>1216.72</v>
      </c>
      <c r="E27" s="45" t="n">
        <f aca="false">12_Ertragsrechnung!$F$19</f>
        <v>36</v>
      </c>
      <c r="F27" s="11" t="n">
        <f aca="false">12_Ertragsrechnung!$H$19</f>
        <v>743232.906520697</v>
      </c>
      <c r="G27" s="11" t="n">
        <f aca="false">12_Ertragsrechnung!$N$19</f>
        <v>520263.034564488</v>
      </c>
      <c r="H27" s="14" t="n">
        <f aca="false">13_Bewertung!$F$20</f>
        <v>0.052</v>
      </c>
      <c r="I27" s="13" t="n">
        <f aca="false">13_Bewertung!$G$20</f>
        <v>10005058.3570094</v>
      </c>
      <c r="J27" s="11" t="n">
        <f aca="false">13_Bewertung!$J$20</f>
        <v>9453189.81745784</v>
      </c>
    </row>
    <row r="28" customFormat="false" ht="15" hidden="false" customHeight="false" outlineLevel="0" collapsed="false">
      <c r="B28" s="8" t="s">
        <v>99</v>
      </c>
      <c r="C28" s="8" t="s">
        <v>130</v>
      </c>
      <c r="D28" s="11" t="n">
        <f aca="false">12_Ertragsrechnung!$E$20</f>
        <v>1095.44</v>
      </c>
      <c r="E28" s="45" t="n">
        <f aca="false">12_Ertragsrechnung!$F$20</f>
        <v>32</v>
      </c>
      <c r="F28" s="11" t="n">
        <f aca="false">12_Ertragsrechnung!$H$20</f>
        <v>302734.279613803</v>
      </c>
      <c r="G28" s="11" t="n">
        <f aca="false">12_Ertragsrechnung!$N$20</f>
        <v>257324.137671733</v>
      </c>
      <c r="H28" s="14" t="n">
        <f aca="false">13_Bewertung!$F$21</f>
        <v>0.051</v>
      </c>
      <c r="I28" s="13" t="n">
        <f aca="false">13_Bewertung!$G$21</f>
        <v>5045571.32689672</v>
      </c>
      <c r="J28" s="11" t="n">
        <f aca="false">13_Bewertung!$J$21</f>
        <v>4792465.18741678</v>
      </c>
    </row>
    <row r="29" customFormat="false" ht="15" hidden="false" customHeight="false" outlineLevel="0" collapsed="false">
      <c r="B29" s="8" t="s">
        <v>99</v>
      </c>
      <c r="C29" s="8" t="s">
        <v>107</v>
      </c>
      <c r="D29" s="11" t="n">
        <f aca="false">12_Ertragsrechnung!$E$21</f>
        <v>1590.37</v>
      </c>
      <c r="E29" s="45" t="n">
        <f aca="false">12_Ertragsrechnung!$F$21</f>
        <v>4</v>
      </c>
      <c r="F29" s="11" t="n">
        <f aca="false">12_Ertragsrechnung!$H$21</f>
        <v>284766.140559768</v>
      </c>
      <c r="G29" s="11" t="n">
        <f aca="false">12_Ertragsrechnung!$N$21</f>
        <v>247746.542286998</v>
      </c>
      <c r="H29" s="14" t="n">
        <f aca="false">13_Bewertung!$F$22</f>
        <v>0.056</v>
      </c>
      <c r="I29" s="13" t="n">
        <f aca="false">13_Bewertung!$G$22</f>
        <v>4424045.3979821</v>
      </c>
      <c r="J29" s="11" t="n">
        <f aca="false">13_Bewertung!$J$22</f>
        <v>4218513.32596874</v>
      </c>
    </row>
    <row r="30" customFormat="false" ht="15" hidden="false" customHeight="false" outlineLevel="0" collapsed="false">
      <c r="B30" s="8" t="s">
        <v>99</v>
      </c>
      <c r="C30" s="8" t="s">
        <v>180</v>
      </c>
      <c r="D30" s="11" t="str">
        <f aca="false">12_Ertragsrechnung!$E$22</f>
        <v>—</v>
      </c>
      <c r="E30" s="45" t="n">
        <f aca="false">12_Ertragsrechnung!$F$22</f>
        <v>77.1934</v>
      </c>
      <c r="F30" s="11" t="n">
        <f aca="false">12_Ertragsrechnung!$H$22</f>
        <v>152842.932</v>
      </c>
      <c r="G30" s="11" t="n">
        <f aca="false">12_Ertragsrechnung!$N$22</f>
        <v>132973.35084</v>
      </c>
      <c r="H30" s="14" t="n">
        <f aca="false">13_Bewertung!$F$23</f>
        <v>0.045</v>
      </c>
      <c r="I30" s="13" t="n">
        <f aca="false">13_Bewertung!$G$23</f>
        <v>2954963.352</v>
      </c>
      <c r="J30" s="11" t="n">
        <f aca="false">13_Bewertung!$J$23</f>
        <v>2818343.08354086</v>
      </c>
    </row>
    <row r="31" customFormat="false" ht="15" hidden="false" customHeight="false" outlineLevel="0" collapsed="false">
      <c r="B31" s="20" t="s">
        <v>219</v>
      </c>
      <c r="C31" s="20"/>
      <c r="D31" s="23" t="n">
        <f aca="false">SUM(D23:D30)</f>
        <v>6442.81</v>
      </c>
      <c r="E31" s="20"/>
      <c r="F31" s="23" t="n">
        <f aca="false">SUM(F23:F30)</f>
        <v>2450135.89330668</v>
      </c>
      <c r="G31" s="23" t="n">
        <f aca="false">SUM(G23:G30)</f>
        <v>1913970.83036843</v>
      </c>
      <c r="H31" s="46" t="n">
        <f aca="false">IF(I31=0,0,G31/I31)</f>
        <v>0.0516613055945858</v>
      </c>
      <c r="I31" s="23" t="n">
        <f aca="false">SUM(I23:I30)</f>
        <v>37048440.9625339</v>
      </c>
      <c r="J31" s="23" t="n">
        <f aca="false">SUM(J23:J30)</f>
        <v>35154373.4254442</v>
      </c>
    </row>
    <row r="32" customFormat="false" ht="15" hidden="false" customHeight="false" outlineLevel="0" collapsed="false">
      <c r="B32" s="8" t="s">
        <v>26</v>
      </c>
      <c r="F32" s="47" t="n">
        <f aca="false">IF(I31=0,0,F31/I31)</f>
        <v>0.0661333062782437</v>
      </c>
    </row>
    <row r="33" customFormat="false" ht="15" hidden="false" customHeight="false" outlineLevel="0" collapsed="false">
      <c r="B33" s="8" t="s">
        <v>182</v>
      </c>
      <c r="F33" s="28" t="n">
        <f aca="false">IF(C7=0,0,I31/C7)</f>
        <v>5750.18484596211</v>
      </c>
    </row>
    <row r="35" customFormat="false" ht="15" hidden="false" customHeight="false" outlineLevel="0" collapsed="false">
      <c r="B35" s="5" t="s">
        <v>183</v>
      </c>
    </row>
    <row r="36" customFormat="false" ht="19.5" hidden="false" customHeight="true" outlineLevel="0" collapsed="false">
      <c r="B36" s="6" t="s">
        <v>184</v>
      </c>
      <c r="C36" s="7" t="s">
        <v>185</v>
      </c>
      <c r="D36" s="7" t="s">
        <v>186</v>
      </c>
      <c r="E36" s="7" t="s">
        <v>187</v>
      </c>
      <c r="F36" s="7" t="s">
        <v>188</v>
      </c>
      <c r="G36" s="7" t="s">
        <v>189</v>
      </c>
      <c r="H36" s="7" t="s">
        <v>190</v>
      </c>
      <c r="I36" s="7" t="s">
        <v>191</v>
      </c>
      <c r="J36" s="7" t="s">
        <v>192</v>
      </c>
    </row>
    <row r="37" customFormat="false" ht="15" hidden="false" customHeight="false" outlineLevel="0" collapsed="false">
      <c r="B37" s="11" t="n">
        <f aca="false">'07_Planung &amp; Agenda'!$D$34</f>
        <v>200000</v>
      </c>
      <c r="C37" s="11" t="n">
        <f aca="false">'07_Planung &amp; Agenda'!$E$34</f>
        <v>300000</v>
      </c>
      <c r="D37" s="11" t="n">
        <f aca="false">'07_Planung &amp; Agenda'!$F$34</f>
        <v>400000</v>
      </c>
      <c r="E37" s="11" t="n">
        <f aca="false">'07_Planung &amp; Agenda'!$G$34</f>
        <v>200000</v>
      </c>
      <c r="F37" s="11" t="n">
        <f aca="false">'07_Planung &amp; Agenda'!$H$34</f>
        <v>200000</v>
      </c>
      <c r="G37" s="11" t="n">
        <f aca="false">'07_Planung &amp; Agenda'!$I$34</f>
        <v>300000</v>
      </c>
      <c r="H37" s="11" t="n">
        <f aca="false">'07_Planung &amp; Agenda'!$J$34</f>
        <v>300000</v>
      </c>
      <c r="I37" s="11" t="n">
        <f aca="false">'07_Planung &amp; Agenda'!$K$34</f>
        <v>100000</v>
      </c>
      <c r="J37" s="13" t="n">
        <f aca="false">'07_Planung &amp; Agenda'!$L$34</f>
        <v>2000000</v>
      </c>
    </row>
    <row r="39" customFormat="false" ht="15" hidden="false" customHeight="false" outlineLevel="0" collapsed="false">
      <c r="B39" s="5" t="s">
        <v>193</v>
      </c>
    </row>
    <row r="40" customFormat="false" ht="30" hidden="false" customHeight="true" outlineLevel="0" collapsed="false">
      <c r="B40" s="6" t="s">
        <v>74</v>
      </c>
      <c r="C40" s="6" t="s">
        <v>119</v>
      </c>
      <c r="D40" s="6" t="s">
        <v>103</v>
      </c>
      <c r="E40" s="6" t="s">
        <v>120</v>
      </c>
      <c r="F40" s="7" t="s">
        <v>121</v>
      </c>
      <c r="G40" s="7" t="s">
        <v>122</v>
      </c>
      <c r="H40" s="7" t="s">
        <v>80</v>
      </c>
    </row>
    <row r="41" customFormat="false" ht="15" hidden="false" customHeight="false" outlineLevel="0" collapsed="false">
      <c r="B41" s="9" t="str">
        <f aca="false">02_Flächenspiegel!$B$19</f>
        <v>Campus Small</v>
      </c>
      <c r="C41" s="9" t="str">
        <f aca="false">02_Flächenspiegel!$C$19</f>
        <v>EG</v>
      </c>
      <c r="D41" s="9" t="str">
        <f aca="false">02_Flächenspiegel!$D$19</f>
        <v>Gewerbe</v>
      </c>
      <c r="E41" s="9" t="str">
        <f aca="false">02_Flächenspiegel!$E$19</f>
        <v>Typ1</v>
      </c>
      <c r="F41" s="36" t="n">
        <f aca="false">02_Flächenspiegel!$F$19</f>
        <v>511.77</v>
      </c>
      <c r="G41" s="11" t="n">
        <f aca="false">02_Flächenspiegel!$G$19</f>
        <v>1</v>
      </c>
      <c r="H41" s="36" t="n">
        <f aca="false">02_Flächenspiegel!$J$19</f>
        <v>511.77</v>
      </c>
    </row>
    <row r="42" customFormat="false" ht="15" hidden="false" customHeight="false" outlineLevel="0" collapsed="false">
      <c r="B42" s="9" t="str">
        <f aca="false">02_Flächenspiegel!$B$20</f>
        <v>Campus Small</v>
      </c>
      <c r="C42" s="9" t="str">
        <f aca="false">02_Flächenspiegel!$C$20</f>
        <v>EG</v>
      </c>
      <c r="D42" s="9" t="str">
        <f aca="false">02_Flächenspiegel!$D$20</f>
        <v>Gewerbe</v>
      </c>
      <c r="E42" s="9" t="str">
        <f aca="false">02_Flächenspiegel!$E$20</f>
        <v>Typ2</v>
      </c>
      <c r="F42" s="36" t="n">
        <f aca="false">02_Flächenspiegel!$F$20</f>
        <v>228.62</v>
      </c>
      <c r="G42" s="11" t="n">
        <f aca="false">02_Flächenspiegel!$G$20</f>
        <v>1</v>
      </c>
      <c r="H42" s="36" t="n">
        <f aca="false">02_Flächenspiegel!$J$20</f>
        <v>228.62</v>
      </c>
    </row>
    <row r="43" customFormat="false" ht="15" hidden="false" customHeight="false" outlineLevel="0" collapsed="false">
      <c r="B43" s="9" t="str">
        <f aca="false">02_Flächenspiegel!$B$21</f>
        <v>Campus Small</v>
      </c>
      <c r="C43" s="9" t="str">
        <f aca="false">02_Flächenspiegel!$C$21</f>
        <v>EG</v>
      </c>
      <c r="D43" s="9" t="str">
        <f aca="false">02_Flächenspiegel!$D$21</f>
        <v>Gewerbe</v>
      </c>
      <c r="E43" s="9" t="str">
        <f aca="false">02_Flächenspiegel!$E$21</f>
        <v>Typ3</v>
      </c>
      <c r="F43" s="36" t="n">
        <f aca="false">02_Flächenspiegel!$F$21</f>
        <v>166.33</v>
      </c>
      <c r="G43" s="11" t="n">
        <f aca="false">02_Flächenspiegel!$G$21</f>
        <v>1</v>
      </c>
      <c r="H43" s="36" t="n">
        <f aca="false">02_Flächenspiegel!$J$21</f>
        <v>166.33</v>
      </c>
    </row>
    <row r="44" customFormat="false" ht="15" hidden="false" customHeight="false" outlineLevel="0" collapsed="false">
      <c r="B44" s="9" t="str">
        <f aca="false">02_Flächenspiegel!$B$22</f>
        <v>Campus Small</v>
      </c>
      <c r="C44" s="9" t="str">
        <f aca="false">02_Flächenspiegel!$C$22</f>
        <v>EG</v>
      </c>
      <c r="D44" s="9" t="str">
        <f aca="false">02_Flächenspiegel!$D$22</f>
        <v>Gewerbe</v>
      </c>
      <c r="E44" s="9" t="str">
        <f aca="false">02_Flächenspiegel!$E$22</f>
        <v>Typ4</v>
      </c>
      <c r="F44" s="36" t="n">
        <f aca="false">02_Flächenspiegel!$F$22</f>
        <v>113.4</v>
      </c>
      <c r="G44" s="11" t="n">
        <f aca="false">02_Flächenspiegel!$G$22</f>
        <v>1</v>
      </c>
      <c r="H44" s="36" t="n">
        <f aca="false">02_Flächenspiegel!$J$22</f>
        <v>113.4</v>
      </c>
    </row>
    <row r="45" customFormat="false" ht="15" hidden="false" customHeight="false" outlineLevel="0" collapsed="false">
      <c r="B45" s="9" t="str">
        <f aca="false">02_Flächenspiegel!$B$23</f>
        <v>Campus Small</v>
      </c>
      <c r="C45" s="9" t="str">
        <f aca="false">02_Flächenspiegel!$C$23</f>
        <v>OG</v>
      </c>
      <c r="D45" s="9" t="str">
        <f aca="false">02_Flächenspiegel!$D$23</f>
        <v>Büro</v>
      </c>
      <c r="E45" s="9" t="str">
        <f aca="false">02_Flächenspiegel!$E$23</f>
        <v>Typ1</v>
      </c>
      <c r="F45" s="36" t="n">
        <f aca="false">02_Flächenspiegel!$F$23</f>
        <v>43.05</v>
      </c>
      <c r="G45" s="11" t="n">
        <f aca="false">02_Flächenspiegel!$G$23</f>
        <v>4</v>
      </c>
      <c r="H45" s="36" t="n">
        <f aca="false">02_Flächenspiegel!$J$23</f>
        <v>172.2</v>
      </c>
    </row>
    <row r="46" customFormat="false" ht="15" hidden="false" customHeight="false" outlineLevel="0" collapsed="false">
      <c r="B46" s="9" t="str">
        <f aca="false">02_Flächenspiegel!$B$24</f>
        <v>Campus Small</v>
      </c>
      <c r="C46" s="9" t="str">
        <f aca="false">02_Flächenspiegel!$C$24</f>
        <v>OG</v>
      </c>
      <c r="D46" s="9" t="str">
        <f aca="false">02_Flächenspiegel!$D$24</f>
        <v>Büro</v>
      </c>
      <c r="E46" s="9" t="str">
        <f aca="false">02_Flächenspiegel!$E$24</f>
        <v>Typ2</v>
      </c>
      <c r="F46" s="36" t="n">
        <f aca="false">02_Flächenspiegel!$F$24</f>
        <v>42.55</v>
      </c>
      <c r="G46" s="11" t="n">
        <f aca="false">02_Flächenspiegel!$G$24</f>
        <v>4</v>
      </c>
      <c r="H46" s="36" t="n">
        <f aca="false">02_Flächenspiegel!$J$24</f>
        <v>170.2</v>
      </c>
    </row>
    <row r="47" customFormat="false" ht="15" hidden="false" customHeight="false" outlineLevel="0" collapsed="false">
      <c r="B47" s="9" t="str">
        <f aca="false">02_Flächenspiegel!$B$25</f>
        <v>Campus Small</v>
      </c>
      <c r="C47" s="9" t="str">
        <f aca="false">02_Flächenspiegel!$C$25</f>
        <v>OG</v>
      </c>
      <c r="D47" s="9" t="str">
        <f aca="false">02_Flächenspiegel!$D$25</f>
        <v>Büro</v>
      </c>
      <c r="E47" s="9" t="str">
        <f aca="false">02_Flächenspiegel!$E$25</f>
        <v>Typ3</v>
      </c>
      <c r="F47" s="36" t="n">
        <f aca="false">02_Flächenspiegel!$F$25</f>
        <v>41.95</v>
      </c>
      <c r="G47" s="11" t="n">
        <f aca="false">02_Flächenspiegel!$G$25</f>
        <v>4</v>
      </c>
      <c r="H47" s="36" t="n">
        <f aca="false">02_Flächenspiegel!$J$25</f>
        <v>167.8</v>
      </c>
    </row>
    <row r="48" customFormat="false" ht="15" hidden="false" customHeight="false" outlineLevel="0" collapsed="false">
      <c r="B48" s="9" t="str">
        <f aca="false">02_Flächenspiegel!$B$26</f>
        <v>Campus Small</v>
      </c>
      <c r="C48" s="9" t="str">
        <f aca="false">02_Flächenspiegel!$C$26</f>
        <v>OG</v>
      </c>
      <c r="D48" s="9" t="str">
        <f aca="false">02_Flächenspiegel!$D$26</f>
        <v>Büro</v>
      </c>
      <c r="E48" s="9" t="str">
        <f aca="false">02_Flächenspiegel!$E$26</f>
        <v>Typ4</v>
      </c>
      <c r="F48" s="36" t="n">
        <f aca="false">02_Flächenspiegel!$F$26</f>
        <v>26.09</v>
      </c>
      <c r="G48" s="11" t="n">
        <f aca="false">02_Flächenspiegel!$G$26</f>
        <v>8</v>
      </c>
      <c r="H48" s="36" t="n">
        <f aca="false">02_Flächenspiegel!$J$26</f>
        <v>208.72</v>
      </c>
    </row>
    <row r="49" customFormat="false" ht="15" hidden="false" customHeight="false" outlineLevel="0" collapsed="false">
      <c r="B49" s="9" t="str">
        <f aca="false">02_Flächenspiegel!$B$27</f>
        <v>Campus Small</v>
      </c>
      <c r="C49" s="9" t="str">
        <f aca="false">02_Flächenspiegel!$C$27</f>
        <v>AT</v>
      </c>
      <c r="D49" s="9" t="str">
        <f aca="false">02_Flächenspiegel!$D$27</f>
        <v>Wohnen</v>
      </c>
      <c r="E49" s="9" t="str">
        <f aca="false">02_Flächenspiegel!$E$27</f>
        <v>Wotel Typ1</v>
      </c>
      <c r="F49" s="36" t="n">
        <f aca="false">02_Flächenspiegel!$F$27</f>
        <v>53.56</v>
      </c>
      <c r="G49" s="11" t="n">
        <f aca="false">02_Flächenspiegel!$G$27</f>
        <v>4</v>
      </c>
      <c r="H49" s="36" t="n">
        <f aca="false">02_Flächenspiegel!$J$27</f>
        <v>214.24</v>
      </c>
    </row>
    <row r="50" customFormat="false" ht="15" hidden="false" customHeight="false" outlineLevel="0" collapsed="false">
      <c r="B50" s="9" t="str">
        <f aca="false">02_Flächenspiegel!$B$28</f>
        <v>Campus Small</v>
      </c>
      <c r="C50" s="9" t="str">
        <f aca="false">02_Flächenspiegel!$C$28</f>
        <v>AT</v>
      </c>
      <c r="D50" s="9" t="str">
        <f aca="false">02_Flächenspiegel!$D$28</f>
        <v>Wohnen</v>
      </c>
      <c r="E50" s="9" t="str">
        <f aca="false">02_Flächenspiegel!$E$28</f>
        <v>Wotel Typ2</v>
      </c>
      <c r="F50" s="36" t="n">
        <f aca="false">02_Flächenspiegel!$F$28</f>
        <v>42.88</v>
      </c>
      <c r="G50" s="11" t="n">
        <f aca="false">02_Flächenspiegel!$G$28</f>
        <v>4</v>
      </c>
      <c r="H50" s="36" t="n">
        <f aca="false">02_Flächenspiegel!$J$28</f>
        <v>171.52</v>
      </c>
    </row>
    <row r="51" customFormat="false" ht="15" hidden="false" customHeight="false" outlineLevel="0" collapsed="false">
      <c r="B51" s="9" t="str">
        <f aca="false">02_Flächenspiegel!$B$29</f>
        <v>Campus Small</v>
      </c>
      <c r="C51" s="9" t="str">
        <f aca="false">02_Flächenspiegel!$C$29</f>
        <v>AT</v>
      </c>
      <c r="D51" s="9" t="str">
        <f aca="false">02_Flächenspiegel!$D$29</f>
        <v>Wohnen</v>
      </c>
      <c r="E51" s="9" t="str">
        <f aca="false">02_Flächenspiegel!$E$29</f>
        <v>Wotel Typ3</v>
      </c>
      <c r="F51" s="36" t="n">
        <f aca="false">02_Flächenspiegel!$F$29</f>
        <v>25.92</v>
      </c>
      <c r="G51" s="11" t="n">
        <f aca="false">02_Flächenspiegel!$G$29</f>
        <v>12</v>
      </c>
      <c r="H51" s="36" t="n">
        <f aca="false">02_Flächenspiegel!$J$29</f>
        <v>311.04</v>
      </c>
    </row>
    <row r="52" customFormat="false" ht="15" hidden="false" customHeight="false" outlineLevel="0" collapsed="false">
      <c r="B52" s="9" t="str">
        <f aca="false">02_Flächenspiegel!$B$30</f>
        <v>Campus Small</v>
      </c>
      <c r="C52" s="9" t="str">
        <f aca="false">02_Flächenspiegel!$C$30</f>
        <v>AT</v>
      </c>
      <c r="D52" s="9" t="str">
        <f aca="false">02_Flächenspiegel!$D$30</f>
        <v>Wohnen</v>
      </c>
      <c r="E52" s="9" t="str">
        <f aca="false">02_Flächenspiegel!$E$30</f>
        <v>Wotel Typ4</v>
      </c>
      <c r="F52" s="36" t="n">
        <f aca="false">02_Flächenspiegel!$F$30</f>
        <v>52.22</v>
      </c>
      <c r="G52" s="11" t="n">
        <f aca="false">02_Flächenspiegel!$G$30</f>
        <v>2</v>
      </c>
      <c r="H52" s="36" t="n">
        <f aca="false">02_Flächenspiegel!$J$30</f>
        <v>104.44</v>
      </c>
    </row>
    <row r="53" customFormat="false" ht="15" hidden="false" customHeight="false" outlineLevel="0" collapsed="false">
      <c r="B53" s="9" t="str">
        <f aca="false">02_Flächenspiegel!$B$31</f>
        <v>Campus Medium</v>
      </c>
      <c r="C53" s="9" t="str">
        <f aca="false">02_Flächenspiegel!$C$31</f>
        <v>EG</v>
      </c>
      <c r="D53" s="9" t="str">
        <f aca="false">02_Flächenspiegel!$D$31</f>
        <v>Gewerbe</v>
      </c>
      <c r="E53" s="9" t="str">
        <f aca="false">02_Flächenspiegel!$E$31</f>
        <v>Typ1</v>
      </c>
      <c r="F53" s="36" t="n">
        <f aca="false">02_Flächenspiegel!$F$31</f>
        <v>511.77</v>
      </c>
      <c r="G53" s="11" t="n">
        <f aca="false">02_Flächenspiegel!$G$31</f>
        <v>1</v>
      </c>
      <c r="H53" s="36" t="n">
        <f aca="false">02_Flächenspiegel!$J$31</f>
        <v>511.77</v>
      </c>
    </row>
    <row r="54" customFormat="false" ht="15" hidden="false" customHeight="false" outlineLevel="0" collapsed="false">
      <c r="B54" s="9" t="str">
        <f aca="false">02_Flächenspiegel!$B$32</f>
        <v>Campus Medium</v>
      </c>
      <c r="C54" s="9" t="str">
        <f aca="false">02_Flächenspiegel!$C$32</f>
        <v>EG</v>
      </c>
      <c r="D54" s="9" t="str">
        <f aca="false">02_Flächenspiegel!$D$32</f>
        <v>Gewerbe</v>
      </c>
      <c r="E54" s="9" t="str">
        <f aca="false">02_Flächenspiegel!$E$32</f>
        <v>Typ2</v>
      </c>
      <c r="F54" s="36" t="n">
        <f aca="false">02_Flächenspiegel!$F$32</f>
        <v>506.14</v>
      </c>
      <c r="G54" s="11" t="n">
        <f aca="false">02_Flächenspiegel!$G$32</f>
        <v>1</v>
      </c>
      <c r="H54" s="36" t="n">
        <f aca="false">02_Flächenspiegel!$J$32</f>
        <v>506.14</v>
      </c>
    </row>
    <row r="55" customFormat="false" ht="15" hidden="false" customHeight="false" outlineLevel="0" collapsed="false">
      <c r="B55" s="9" t="str">
        <f aca="false">02_Flächenspiegel!$B$33</f>
        <v>Campus Medium</v>
      </c>
      <c r="C55" s="9" t="str">
        <f aca="false">02_Flächenspiegel!$C$33</f>
        <v>EG</v>
      </c>
      <c r="D55" s="9" t="str">
        <f aca="false">02_Flächenspiegel!$D$33</f>
        <v>Gewerbe</v>
      </c>
      <c r="E55" s="9" t="str">
        <f aca="false">02_Flächenspiegel!$E$33</f>
        <v>Typ3</v>
      </c>
      <c r="F55" s="36" t="n">
        <f aca="false">02_Flächenspiegel!$F$33</f>
        <v>459.06</v>
      </c>
      <c r="G55" s="11" t="n">
        <f aca="false">02_Flächenspiegel!$G$33</f>
        <v>1</v>
      </c>
      <c r="H55" s="36" t="n">
        <f aca="false">02_Flächenspiegel!$J$33</f>
        <v>459.06</v>
      </c>
    </row>
    <row r="56" customFormat="false" ht="15" hidden="false" customHeight="false" outlineLevel="0" collapsed="false">
      <c r="B56" s="9" t="str">
        <f aca="false">02_Flächenspiegel!$B$34</f>
        <v>Campus Medium</v>
      </c>
      <c r="C56" s="9" t="str">
        <f aca="false">02_Flächenspiegel!$C$34</f>
        <v>EG</v>
      </c>
      <c r="D56" s="9" t="str">
        <f aca="false">02_Flächenspiegel!$D$34</f>
        <v>Gewerbe</v>
      </c>
      <c r="E56" s="9" t="str">
        <f aca="false">02_Flächenspiegel!$E$34</f>
        <v>Typ4</v>
      </c>
      <c r="F56" s="36" t="n">
        <f aca="false">02_Flächenspiegel!$F$34</f>
        <v>113.4</v>
      </c>
      <c r="G56" s="11" t="n">
        <f aca="false">02_Flächenspiegel!$G$34</f>
        <v>1</v>
      </c>
      <c r="H56" s="36" t="n">
        <f aca="false">02_Flächenspiegel!$J$34</f>
        <v>113.4</v>
      </c>
    </row>
    <row r="57" customFormat="false" ht="15" hidden="false" customHeight="false" outlineLevel="0" collapsed="false">
      <c r="B57" s="9" t="str">
        <f aca="false">02_Flächenspiegel!$B$35</f>
        <v>Campus Medium</v>
      </c>
      <c r="C57" s="9" t="str">
        <f aca="false">02_Flächenspiegel!$C$35</f>
        <v>OG</v>
      </c>
      <c r="D57" s="9" t="str">
        <f aca="false">02_Flächenspiegel!$D$35</f>
        <v>Büro</v>
      </c>
      <c r="E57" s="9" t="str">
        <f aca="false">02_Flächenspiegel!$E$35</f>
        <v>Typ1</v>
      </c>
      <c r="F57" s="36" t="n">
        <f aca="false">02_Flächenspiegel!$F$35</f>
        <v>43.05</v>
      </c>
      <c r="G57" s="11" t="n">
        <f aca="false">02_Flächenspiegel!$G$35</f>
        <v>4</v>
      </c>
      <c r="H57" s="36" t="n">
        <f aca="false">02_Flächenspiegel!$J$35</f>
        <v>172.2</v>
      </c>
    </row>
    <row r="58" customFormat="false" ht="15" hidden="false" customHeight="false" outlineLevel="0" collapsed="false">
      <c r="B58" s="9" t="str">
        <f aca="false">02_Flächenspiegel!$B$36</f>
        <v>Campus Medium</v>
      </c>
      <c r="C58" s="9" t="str">
        <f aca="false">02_Flächenspiegel!$C$36</f>
        <v>OG</v>
      </c>
      <c r="D58" s="9" t="str">
        <f aca="false">02_Flächenspiegel!$D$36</f>
        <v>Büro</v>
      </c>
      <c r="E58" s="9" t="str">
        <f aca="false">02_Flächenspiegel!$E$36</f>
        <v>Typ2</v>
      </c>
      <c r="F58" s="36" t="n">
        <f aca="false">02_Flächenspiegel!$F$36</f>
        <v>42.55</v>
      </c>
      <c r="G58" s="11" t="n">
        <f aca="false">02_Flächenspiegel!$G$36</f>
        <v>4</v>
      </c>
      <c r="H58" s="36" t="n">
        <f aca="false">02_Flächenspiegel!$J$36</f>
        <v>170.2</v>
      </c>
    </row>
    <row r="59" customFormat="false" ht="15" hidden="false" customHeight="false" outlineLevel="0" collapsed="false">
      <c r="B59" s="9" t="str">
        <f aca="false">02_Flächenspiegel!$B$37</f>
        <v>Campus Medium</v>
      </c>
      <c r="C59" s="9" t="str">
        <f aca="false">02_Flächenspiegel!$C$37</f>
        <v>OG</v>
      </c>
      <c r="D59" s="9" t="str">
        <f aca="false">02_Flächenspiegel!$D$37</f>
        <v>Büro</v>
      </c>
      <c r="E59" s="9" t="str">
        <f aca="false">02_Flächenspiegel!$E$37</f>
        <v>Typ3</v>
      </c>
      <c r="F59" s="36" t="n">
        <f aca="false">02_Flächenspiegel!$F$37</f>
        <v>41.95</v>
      </c>
      <c r="G59" s="11" t="n">
        <f aca="false">02_Flächenspiegel!$G$37</f>
        <v>8</v>
      </c>
      <c r="H59" s="36" t="n">
        <f aca="false">02_Flächenspiegel!$J$37</f>
        <v>335.6</v>
      </c>
    </row>
    <row r="60" customFormat="false" ht="15" hidden="false" customHeight="false" outlineLevel="0" collapsed="false">
      <c r="B60" s="9" t="str">
        <f aca="false">02_Flächenspiegel!$B$38</f>
        <v>Campus Medium</v>
      </c>
      <c r="C60" s="9" t="str">
        <f aca="false">02_Flächenspiegel!$C$38</f>
        <v>OG</v>
      </c>
      <c r="D60" s="9" t="str">
        <f aca="false">02_Flächenspiegel!$D$38</f>
        <v>Büro</v>
      </c>
      <c r="E60" s="9" t="str">
        <f aca="false">02_Flächenspiegel!$E$38</f>
        <v>Typ4</v>
      </c>
      <c r="F60" s="36" t="n">
        <f aca="false">02_Flächenspiegel!$F$38</f>
        <v>26.09</v>
      </c>
      <c r="G60" s="11" t="n">
        <f aca="false">02_Flächenspiegel!$G$38</f>
        <v>16</v>
      </c>
      <c r="H60" s="36" t="n">
        <f aca="false">02_Flächenspiegel!$J$38</f>
        <v>417.44</v>
      </c>
    </row>
    <row r="61" customFormat="false" ht="15" hidden="false" customHeight="false" outlineLevel="0" collapsed="false">
      <c r="B61" s="9" t="str">
        <f aca="false">02_Flächenspiegel!$B$39</f>
        <v>Campus Medium</v>
      </c>
      <c r="C61" s="9" t="str">
        <f aca="false">02_Flächenspiegel!$C$39</f>
        <v>AT</v>
      </c>
      <c r="D61" s="9" t="str">
        <f aca="false">02_Flächenspiegel!$D$39</f>
        <v>Wohnen</v>
      </c>
      <c r="E61" s="9" t="str">
        <f aca="false">02_Flächenspiegel!$E$39</f>
        <v>Wotel Typ1</v>
      </c>
      <c r="F61" s="36" t="n">
        <f aca="false">02_Flächenspiegel!$F$39</f>
        <v>53.56</v>
      </c>
      <c r="G61" s="11" t="n">
        <f aca="false">02_Flächenspiegel!$G$39</f>
        <v>4</v>
      </c>
      <c r="H61" s="36" t="n">
        <f aca="false">02_Flächenspiegel!$J$39</f>
        <v>214.24</v>
      </c>
    </row>
    <row r="62" customFormat="false" ht="15" hidden="false" customHeight="false" outlineLevel="0" collapsed="false">
      <c r="B62" s="9" t="str">
        <f aca="false">02_Flächenspiegel!$B$40</f>
        <v>Campus Medium</v>
      </c>
      <c r="C62" s="9" t="str">
        <f aca="false">02_Flächenspiegel!$C$40</f>
        <v>AT</v>
      </c>
      <c r="D62" s="9" t="str">
        <f aca="false">02_Flächenspiegel!$D$40</f>
        <v>Wohnen</v>
      </c>
      <c r="E62" s="9" t="str">
        <f aca="false">02_Flächenspiegel!$E$40</f>
        <v>Wotel Typ2</v>
      </c>
      <c r="F62" s="36" t="n">
        <f aca="false">02_Flächenspiegel!$F$40</f>
        <v>42.88</v>
      </c>
      <c r="G62" s="11" t="n">
        <f aca="false">02_Flächenspiegel!$G$40</f>
        <v>4</v>
      </c>
      <c r="H62" s="36" t="n">
        <f aca="false">02_Flächenspiegel!$J$40</f>
        <v>171.52</v>
      </c>
    </row>
    <row r="63" customFormat="false" ht="15" hidden="false" customHeight="false" outlineLevel="0" collapsed="false">
      <c r="B63" s="9" t="str">
        <f aca="false">02_Flächenspiegel!$B$41</f>
        <v>Campus Medium</v>
      </c>
      <c r="C63" s="9" t="str">
        <f aca="false">02_Flächenspiegel!$C$41</f>
        <v>AT</v>
      </c>
      <c r="D63" s="9" t="str">
        <f aca="false">02_Flächenspiegel!$D$41</f>
        <v>Wohnen</v>
      </c>
      <c r="E63" s="9" t="str">
        <f aca="false">02_Flächenspiegel!$E$41</f>
        <v>Wotel Typ3</v>
      </c>
      <c r="F63" s="36" t="n">
        <f aca="false">02_Flächenspiegel!$F$41</f>
        <v>25.92</v>
      </c>
      <c r="G63" s="11" t="n">
        <f aca="false">02_Flächenspiegel!$G$41</f>
        <v>24</v>
      </c>
      <c r="H63" s="36" t="n">
        <f aca="false">02_Flächenspiegel!$J$41</f>
        <v>622.08</v>
      </c>
    </row>
    <row r="64" customFormat="false" ht="15" hidden="false" customHeight="false" outlineLevel="0" collapsed="false">
      <c r="B64" s="9" t="str">
        <f aca="false">02_Flächenspiegel!$B$42</f>
        <v>Campus Medium</v>
      </c>
      <c r="C64" s="9" t="str">
        <f aca="false">02_Flächenspiegel!$C$42</f>
        <v>AT</v>
      </c>
      <c r="D64" s="9" t="str">
        <f aca="false">02_Flächenspiegel!$D$42</f>
        <v>Wohnen</v>
      </c>
      <c r="E64" s="9" t="str">
        <f aca="false">02_Flächenspiegel!$E$42</f>
        <v>Wotel Typ4</v>
      </c>
      <c r="F64" s="36" t="n">
        <f aca="false">02_Flächenspiegel!$F$42</f>
        <v>52.22</v>
      </c>
      <c r="G64" s="11" t="n">
        <f aca="false">02_Flächenspiegel!$G$42</f>
        <v>4</v>
      </c>
      <c r="H64" s="36" t="n">
        <f aca="false">02_Flächenspiegel!$J$42</f>
        <v>208.88</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J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34"/>
    <col collapsed="false" customWidth="true" hidden="false" outlineLevel="0" max="3" min="3" style="0" width="16"/>
    <col collapsed="false" customWidth="true" hidden="false" outlineLevel="0" max="4" min="4" style="0" width="14"/>
    <col collapsed="false" customWidth="true" hidden="false" outlineLevel="0" max="5" min="5" style="0" width="13"/>
    <col collapsed="false" customWidth="true" hidden="false" outlineLevel="0" max="6" min="6" style="0" width="30"/>
    <col collapsed="false" customWidth="true" hidden="false" outlineLevel="0" max="7" min="7" style="0" width="15"/>
    <col collapsed="false" customWidth="true" hidden="false" outlineLevel="0" max="8" min="8" style="0" width="12"/>
    <col collapsed="false" customWidth="true" hidden="false" outlineLevel="0" max="10" min="9" style="0" width="15"/>
  </cols>
  <sheetData>
    <row r="2" customFormat="false" ht="19.7" hidden="false" customHeight="false" outlineLevel="0" collapsed="false">
      <c r="B2" s="26" t="s">
        <v>220</v>
      </c>
    </row>
    <row r="3" customFormat="false" ht="15" hidden="false" customHeight="false" outlineLevel="0" collapsed="false">
      <c r="B3" s="4" t="s">
        <v>221</v>
      </c>
    </row>
    <row r="5" customFormat="false" ht="15" hidden="false" customHeight="false" outlineLevel="0" collapsed="false">
      <c r="B5" s="5" t="s">
        <v>154</v>
      </c>
      <c r="F5" s="5" t="s">
        <v>155</v>
      </c>
    </row>
    <row r="6" customFormat="false" ht="19.5" hidden="false" customHeight="true" outlineLevel="0" collapsed="false">
      <c r="B6" s="6" t="s">
        <v>5</v>
      </c>
      <c r="C6" s="7" t="s">
        <v>6</v>
      </c>
      <c r="D6" s="6" t="s">
        <v>7</v>
      </c>
      <c r="F6" s="6" t="s">
        <v>5</v>
      </c>
      <c r="G6" s="7" t="s">
        <v>6</v>
      </c>
      <c r="H6" s="6" t="s">
        <v>7</v>
      </c>
    </row>
    <row r="7" customFormat="false" ht="15" hidden="false" customHeight="false" outlineLevel="0" collapsed="false">
      <c r="B7" s="8" t="s">
        <v>11</v>
      </c>
      <c r="C7" s="11" t="n">
        <f aca="false">01_Kennwerte!$J$8</f>
        <v>7249</v>
      </c>
      <c r="D7" s="8" t="s">
        <v>12</v>
      </c>
      <c r="F7" s="8" t="s">
        <v>156</v>
      </c>
      <c r="G7" s="42" t="n">
        <f aca="false">16_Residualwert!$D$74</f>
        <v>77</v>
      </c>
      <c r="H7" s="8" t="s">
        <v>30</v>
      </c>
    </row>
    <row r="8" customFormat="false" ht="15" hidden="false" customHeight="false" outlineLevel="0" collapsed="false">
      <c r="B8" s="8" t="s">
        <v>157</v>
      </c>
      <c r="C8" s="11" t="n">
        <f aca="false">01_Kennwerte!$N$8</f>
        <v>15655</v>
      </c>
      <c r="D8" s="8" t="s">
        <v>12</v>
      </c>
      <c r="F8" s="8" t="s">
        <v>158</v>
      </c>
      <c r="G8" s="42" t="n">
        <f aca="false">16_Residualwert!$E$74</f>
        <v>38.5828333333333</v>
      </c>
      <c r="H8" s="8" t="s">
        <v>30</v>
      </c>
    </row>
    <row r="9" customFormat="false" ht="15" hidden="false" customHeight="false" outlineLevel="0" collapsed="false">
      <c r="B9" s="8" t="s">
        <v>159</v>
      </c>
      <c r="C9" s="11" t="n">
        <f aca="false">01_Kennwerte!$K$8</f>
        <v>36949</v>
      </c>
      <c r="D9" s="8" t="s">
        <v>15</v>
      </c>
      <c r="F9" s="8" t="s">
        <v>160</v>
      </c>
      <c r="G9" s="42" t="n">
        <f aca="false">16_Residualwert!$F$74</f>
        <v>7</v>
      </c>
      <c r="H9" s="8" t="s">
        <v>30</v>
      </c>
    </row>
    <row r="10" customFormat="false" ht="15" hidden="false" customHeight="false" outlineLevel="0" collapsed="false">
      <c r="B10" s="8" t="s">
        <v>161</v>
      </c>
      <c r="C10" s="11" t="n">
        <f aca="false">01_Kennwerte!$M$8</f>
        <v>15584</v>
      </c>
      <c r="D10" s="8" t="s">
        <v>15</v>
      </c>
      <c r="F10" s="15" t="s">
        <v>34</v>
      </c>
      <c r="G10" s="43" t="n">
        <f aca="false">16_Residualwert!$G$74</f>
        <v>31.4171666666667</v>
      </c>
      <c r="H10" s="17" t="s">
        <v>30</v>
      </c>
    </row>
    <row r="11" customFormat="false" ht="15" hidden="false" customHeight="false" outlineLevel="0" collapsed="false">
      <c r="B11" s="8" t="s">
        <v>162</v>
      </c>
      <c r="C11" s="11" t="n">
        <f aca="false">01_Kennwerte!$O$8</f>
        <v>52533</v>
      </c>
      <c r="D11" s="8" t="s">
        <v>15</v>
      </c>
      <c r="F11" s="8" t="s">
        <v>22</v>
      </c>
      <c r="G11" s="42" t="n">
        <f aca="false">16_Residualwert!$H$74</f>
        <v>59.6529995250226</v>
      </c>
      <c r="H11" s="8" t="s">
        <v>30</v>
      </c>
    </row>
    <row r="12" customFormat="false" ht="15" hidden="false" customHeight="false" outlineLevel="0" collapsed="false">
      <c r="B12" s="8" t="s">
        <v>163</v>
      </c>
      <c r="C12" s="11" t="n">
        <f aca="false">01_Kennwerte!$P$8</f>
        <v>0</v>
      </c>
      <c r="D12" s="8" t="s">
        <v>164</v>
      </c>
      <c r="F12" s="8" t="s">
        <v>165</v>
      </c>
      <c r="G12" s="42" t="n">
        <f aca="false">16_Residualwert!$I$74</f>
        <v>14.0701661916892</v>
      </c>
      <c r="H12" s="8" t="s">
        <v>30</v>
      </c>
    </row>
    <row r="13" customFormat="false" ht="15" hidden="false" customHeight="false" outlineLevel="0" collapsed="false">
      <c r="B13" s="8" t="s">
        <v>166</v>
      </c>
      <c r="C13" s="11" t="n">
        <f aca="false">01_Kennwerte!$Q$8</f>
        <v>80</v>
      </c>
      <c r="D13" s="8" t="s">
        <v>164</v>
      </c>
      <c r="F13" s="8" t="s">
        <v>167</v>
      </c>
      <c r="G13" s="42" t="n">
        <f aca="false">16_Residualwert!$J$74</f>
        <v>56.732772352254</v>
      </c>
      <c r="H13" s="8" t="s">
        <v>30</v>
      </c>
    </row>
    <row r="14" customFormat="false" ht="15" hidden="false" customHeight="false" outlineLevel="0" collapsed="false">
      <c r="B14" s="8" t="s">
        <v>168</v>
      </c>
      <c r="C14" s="11" t="n">
        <f aca="false">01_Kennwerte!$S$8</f>
        <v>48</v>
      </c>
      <c r="D14" s="8" t="s">
        <v>122</v>
      </c>
      <c r="F14" s="8" t="s">
        <v>169</v>
      </c>
      <c r="G14" s="19" t="n">
        <f aca="false">16_Residualwert!$K$74</f>
        <v>0.5</v>
      </c>
      <c r="H14" s="8" t="s">
        <v>30</v>
      </c>
    </row>
    <row r="15" customFormat="false" ht="15" hidden="false" customHeight="false" outlineLevel="0" collapsed="false">
      <c r="B15" s="8" t="s">
        <v>170</v>
      </c>
      <c r="C15" s="11" t="n">
        <f aca="false">01_Kennwerte!$T$8</f>
        <v>0</v>
      </c>
      <c r="D15" s="8" t="s">
        <v>122</v>
      </c>
      <c r="F15" s="8" t="s">
        <v>171</v>
      </c>
      <c r="G15" s="44" t="n">
        <f aca="false">16_Residualwert!$L$74</f>
        <v>0.012959131219843</v>
      </c>
      <c r="H15" s="8" t="s">
        <v>172</v>
      </c>
    </row>
    <row r="17" customFormat="false" ht="15" hidden="false" customHeight="false" outlineLevel="0" collapsed="false">
      <c r="B17" s="5" t="s">
        <v>173</v>
      </c>
    </row>
    <row r="18" customFormat="false" ht="19.5" hidden="false" customHeight="true" outlineLevel="0" collapsed="false">
      <c r="B18" s="6" t="s">
        <v>174</v>
      </c>
      <c r="C18" s="7" t="s">
        <v>175</v>
      </c>
      <c r="D18" s="7" t="s">
        <v>176</v>
      </c>
      <c r="E18" s="7" t="s">
        <v>177</v>
      </c>
    </row>
    <row r="19" customFormat="false" ht="15" hidden="false" customHeight="false" outlineLevel="0" collapsed="false">
      <c r="B19" s="9" t="str">
        <f aca="false">'07_Planung &amp; Agenda'!$D$20</f>
        <v>Q1 2027</v>
      </c>
      <c r="C19" s="9" t="str">
        <f aca="false">'07_Planung &amp; Agenda'!$E$20</f>
        <v>Q1 2029 (nach Bewilligung Zonenänderung)</v>
      </c>
      <c r="D19" s="9" t="str">
        <f aca="false">'07_Planung &amp; Agenda'!$F$20</f>
        <v>offen</v>
      </c>
      <c r="E19" s="9" t="str">
        <f aca="false">'07_Planung &amp; Agenda'!$G$20</f>
        <v>Q4 2031 (Reserve 2032/33)</v>
      </c>
    </row>
    <row r="21" customFormat="false" ht="15" hidden="false" customHeight="false" outlineLevel="0" collapsed="false">
      <c r="B21" s="5" t="s">
        <v>178</v>
      </c>
    </row>
    <row r="22" customFormat="false" ht="31.5" hidden="false" customHeight="true" outlineLevel="0" collapsed="false">
      <c r="B22" s="6" t="s">
        <v>74</v>
      </c>
      <c r="C22" s="6" t="s">
        <v>103</v>
      </c>
      <c r="D22" s="7" t="s">
        <v>40</v>
      </c>
      <c r="E22" s="7" t="s">
        <v>113</v>
      </c>
      <c r="F22" s="7" t="s">
        <v>52</v>
      </c>
      <c r="G22" s="7" t="s">
        <v>53</v>
      </c>
      <c r="H22" s="7" t="s">
        <v>54</v>
      </c>
      <c r="I22" s="7" t="s">
        <v>43</v>
      </c>
      <c r="J22" s="7" t="s">
        <v>179</v>
      </c>
    </row>
    <row r="23" customFormat="false" ht="15" hidden="false" customHeight="false" outlineLevel="0" collapsed="false">
      <c r="B23" s="8" t="s">
        <v>96</v>
      </c>
      <c r="C23" s="8" t="s">
        <v>106</v>
      </c>
      <c r="D23" s="11" t="n">
        <f aca="false">12_Ertragsrechnung!$E$23</f>
        <v>7249.2</v>
      </c>
      <c r="E23" s="45" t="n">
        <f aca="false">12_Ertragsrechnung!$F$23</f>
        <v>48</v>
      </c>
      <c r="F23" s="11" t="n">
        <f aca="false">12_Ertragsrechnung!$H$23</f>
        <v>2261396.7810009</v>
      </c>
      <c r="G23" s="11" t="n">
        <f aca="false">12_Ertragsrechnung!$N$23</f>
        <v>1922187.26385077</v>
      </c>
      <c r="H23" s="14" t="n">
        <f aca="false">13_Bewertung!$F$24</f>
        <v>0.034</v>
      </c>
      <c r="I23" s="13" t="n">
        <f aca="false">13_Bewertung!$G$24</f>
        <v>56534919.5250226</v>
      </c>
      <c r="J23" s="11" t="n">
        <f aca="false">13_Bewertung!$J$24</f>
        <v>53758854.1830221</v>
      </c>
    </row>
    <row r="24" customFormat="false" ht="15" hidden="false" customHeight="false" outlineLevel="0" collapsed="false">
      <c r="B24" s="8" t="s">
        <v>96</v>
      </c>
      <c r="C24" s="8" t="s">
        <v>180</v>
      </c>
      <c r="D24" s="11" t="str">
        <f aca="false">12_Ertragsrechnung!$E$24</f>
        <v>—</v>
      </c>
      <c r="E24" s="45" t="n">
        <f aca="false">12_Ertragsrechnung!$F$24</f>
        <v>67.2</v>
      </c>
      <c r="F24" s="11" t="n">
        <f aca="false">12_Ertragsrechnung!$H$24</f>
        <v>161280</v>
      </c>
      <c r="G24" s="11" t="n">
        <f aca="false">12_Ertragsrechnung!$N$24</f>
        <v>140313.6</v>
      </c>
      <c r="H24" s="14" t="n">
        <f aca="false">13_Bewertung!$F$25</f>
        <v>0.045</v>
      </c>
      <c r="I24" s="13" t="n">
        <f aca="false">13_Bewertung!$G$25</f>
        <v>3118080</v>
      </c>
      <c r="J24" s="11" t="n">
        <f aca="false">13_Bewertung!$J$25</f>
        <v>2973918.16923186</v>
      </c>
    </row>
    <row r="25" customFormat="false" ht="15" hidden="false" customHeight="false" outlineLevel="0" collapsed="false">
      <c r="B25" s="20" t="s">
        <v>222</v>
      </c>
      <c r="C25" s="20"/>
      <c r="D25" s="23" t="n">
        <f aca="false">SUM(D23:D24)</f>
        <v>7249.2</v>
      </c>
      <c r="E25" s="20"/>
      <c r="F25" s="23" t="n">
        <f aca="false">SUM(F23:F24)</f>
        <v>2422676.7810009</v>
      </c>
      <c r="G25" s="23" t="n">
        <f aca="false">SUM(G23:G24)</f>
        <v>2062500.86385077</v>
      </c>
      <c r="H25" s="46" t="n">
        <f aca="false">IF(I25=0,0,G25/I25)</f>
        <v>0.0345749732666102</v>
      </c>
      <c r="I25" s="23" t="n">
        <f aca="false">SUM(I23:I24)</f>
        <v>59652999.5250226</v>
      </c>
      <c r="J25" s="23" t="n">
        <f aca="false">SUM(J23:J24)</f>
        <v>56732772.352254</v>
      </c>
    </row>
    <row r="26" customFormat="false" ht="15" hidden="false" customHeight="false" outlineLevel="0" collapsed="false">
      <c r="B26" s="8" t="s">
        <v>26</v>
      </c>
      <c r="F26" s="47" t="n">
        <f aca="false">IF(I25=0,0,F25/I25)</f>
        <v>0.0406128241713087</v>
      </c>
    </row>
    <row r="27" customFormat="false" ht="15" hidden="false" customHeight="false" outlineLevel="0" collapsed="false">
      <c r="B27" s="8" t="s">
        <v>182</v>
      </c>
      <c r="F27" s="28" t="n">
        <f aca="false">IF(C7=0,0,I25/C7)</f>
        <v>8229.13498758761</v>
      </c>
    </row>
    <row r="29" customFormat="false" ht="15" hidden="false" customHeight="false" outlineLevel="0" collapsed="false">
      <c r="B29" s="5" t="s">
        <v>183</v>
      </c>
    </row>
    <row r="30" customFormat="false" ht="19.5" hidden="false" customHeight="true" outlineLevel="0" collapsed="false">
      <c r="B30" s="6" t="s">
        <v>184</v>
      </c>
      <c r="C30" s="7" t="s">
        <v>185</v>
      </c>
      <c r="D30" s="7" t="s">
        <v>186</v>
      </c>
      <c r="E30" s="7" t="s">
        <v>187</v>
      </c>
      <c r="F30" s="7" t="s">
        <v>188</v>
      </c>
      <c r="G30" s="7" t="s">
        <v>189</v>
      </c>
      <c r="H30" s="7" t="s">
        <v>190</v>
      </c>
      <c r="I30" s="7" t="s">
        <v>191</v>
      </c>
      <c r="J30" s="7" t="s">
        <v>192</v>
      </c>
    </row>
    <row r="31" customFormat="false" ht="15" hidden="false" customHeight="false" outlineLevel="0" collapsed="false">
      <c r="B31" s="11" t="n">
        <f aca="false">'07_Planung &amp; Agenda'!$D$35</f>
        <v>100000</v>
      </c>
      <c r="C31" s="11" t="n">
        <f aca="false">'07_Planung &amp; Agenda'!$E$35</f>
        <v>150000</v>
      </c>
      <c r="D31" s="11" t="n">
        <f aca="false">'07_Planung &amp; Agenda'!$F$35</f>
        <v>100000</v>
      </c>
      <c r="E31" s="11" t="n">
        <f aca="false">'07_Planung &amp; Agenda'!$G$35</f>
        <v>50000</v>
      </c>
      <c r="F31" s="11" t="n">
        <f aca="false">'07_Planung &amp; Agenda'!$H$35</f>
        <v>50000</v>
      </c>
      <c r="G31" s="11" t="n">
        <f aca="false">'07_Planung &amp; Agenda'!$I$35</f>
        <v>25000</v>
      </c>
      <c r="H31" s="11" t="n">
        <f aca="false">'07_Planung &amp; Agenda'!$J$35</f>
        <v>25000</v>
      </c>
      <c r="I31" s="11" t="n">
        <f aca="false">'07_Planung &amp; Agenda'!$K$35</f>
        <v>0</v>
      </c>
      <c r="J31" s="13" t="n">
        <f aca="false">'07_Planung &amp; Agenda'!$L$35</f>
        <v>500000</v>
      </c>
    </row>
    <row r="33" customFormat="false" ht="15" hidden="false" customHeight="false" outlineLevel="0" collapsed="false">
      <c r="B33" s="5" t="s">
        <v>193</v>
      </c>
    </row>
    <row r="34" customFormat="false" ht="30" hidden="false" customHeight="true" outlineLevel="0" collapsed="false">
      <c r="B34" s="6" t="s">
        <v>74</v>
      </c>
      <c r="C34" s="6" t="s">
        <v>119</v>
      </c>
      <c r="D34" s="6" t="s">
        <v>103</v>
      </c>
      <c r="E34" s="6" t="s">
        <v>120</v>
      </c>
      <c r="F34" s="7" t="s">
        <v>121</v>
      </c>
      <c r="G34" s="7" t="s">
        <v>122</v>
      </c>
      <c r="H34" s="7" t="s">
        <v>80</v>
      </c>
    </row>
    <row r="35" customFormat="false" ht="15" hidden="false" customHeight="false" outlineLevel="0" collapsed="false">
      <c r="B35" s="9" t="str">
        <f aca="false">02_Flächenspiegel!$B$66</f>
        <v>Villette 2 W3</v>
      </c>
      <c r="C35" s="9" t="str">
        <f aca="false">02_Flächenspiegel!$C$66</f>
        <v>EG</v>
      </c>
      <c r="D35" s="9" t="str">
        <f aca="false">02_Flächenspiegel!$D$66</f>
        <v>Wohnen</v>
      </c>
      <c r="E35" s="9" t="str">
        <f aca="false">02_Flächenspiegel!$E$66</f>
        <v>5.5 Zi.-Whg.</v>
      </c>
      <c r="F35" s="36" t="n">
        <f aca="false">02_Flächenspiegel!$F$66</f>
        <v>179.5</v>
      </c>
      <c r="G35" s="11" t="n">
        <f aca="false">02_Flächenspiegel!$G$66</f>
        <v>6</v>
      </c>
      <c r="H35" s="36" t="n">
        <f aca="false">02_Flächenspiegel!$J$66</f>
        <v>1077</v>
      </c>
    </row>
    <row r="36" customFormat="false" ht="15" hidden="false" customHeight="false" outlineLevel="0" collapsed="false">
      <c r="B36" s="9" t="str">
        <f aca="false">02_Flächenspiegel!$B$67</f>
        <v>Villette 2 W3</v>
      </c>
      <c r="C36" s="9" t="str">
        <f aca="false">02_Flächenspiegel!$C$67</f>
        <v>EG</v>
      </c>
      <c r="D36" s="9" t="str">
        <f aca="false">02_Flächenspiegel!$D$67</f>
        <v>Wohnen</v>
      </c>
      <c r="E36" s="9" t="str">
        <f aca="false">02_Flächenspiegel!$E$67</f>
        <v>4.5 Zi.-Whg.</v>
      </c>
      <c r="F36" s="36" t="n">
        <f aca="false">02_Flächenspiegel!$F$67</f>
        <v>148.8</v>
      </c>
      <c r="G36" s="11" t="n">
        <f aca="false">02_Flächenspiegel!$G$67</f>
        <v>6</v>
      </c>
      <c r="H36" s="36" t="n">
        <f aca="false">02_Flächenspiegel!$J$67</f>
        <v>892.8</v>
      </c>
    </row>
    <row r="37" customFormat="false" ht="15" hidden="false" customHeight="false" outlineLevel="0" collapsed="false">
      <c r="B37" s="9" t="str">
        <f aca="false">02_Flächenspiegel!$B$68</f>
        <v>Villette 2 W3</v>
      </c>
      <c r="C37" s="9" t="str">
        <f aca="false">02_Flächenspiegel!$C$68</f>
        <v>OG1</v>
      </c>
      <c r="D37" s="9" t="str">
        <f aca="false">02_Flächenspiegel!$D$68</f>
        <v>Wohnen</v>
      </c>
      <c r="E37" s="9" t="str">
        <f aca="false">02_Flächenspiegel!$E$68</f>
        <v>5.5 Zi.-Whg.</v>
      </c>
      <c r="F37" s="36" t="n">
        <f aca="false">02_Flächenspiegel!$F$68</f>
        <v>179.5</v>
      </c>
      <c r="G37" s="11" t="n">
        <f aca="false">02_Flächenspiegel!$G$68</f>
        <v>6</v>
      </c>
      <c r="H37" s="36" t="n">
        <f aca="false">02_Flächenspiegel!$J$68</f>
        <v>1077</v>
      </c>
    </row>
    <row r="38" customFormat="false" ht="15" hidden="false" customHeight="false" outlineLevel="0" collapsed="false">
      <c r="B38" s="9" t="str">
        <f aca="false">02_Flächenspiegel!$B$69</f>
        <v>Villette 2 W3</v>
      </c>
      <c r="C38" s="9" t="str">
        <f aca="false">02_Flächenspiegel!$C$69</f>
        <v>OG1</v>
      </c>
      <c r="D38" s="9" t="str">
        <f aca="false">02_Flächenspiegel!$D$69</f>
        <v>Wohnen</v>
      </c>
      <c r="E38" s="9" t="str">
        <f aca="false">02_Flächenspiegel!$E$69</f>
        <v>4.5 Zi.-Whg.</v>
      </c>
      <c r="F38" s="36" t="n">
        <f aca="false">02_Flächenspiegel!$F$69</f>
        <v>148.8</v>
      </c>
      <c r="G38" s="11" t="n">
        <f aca="false">02_Flächenspiegel!$G$69</f>
        <v>6</v>
      </c>
      <c r="H38" s="36" t="n">
        <f aca="false">02_Flächenspiegel!$J$69</f>
        <v>892.8</v>
      </c>
    </row>
    <row r="39" customFormat="false" ht="15" hidden="false" customHeight="false" outlineLevel="0" collapsed="false">
      <c r="B39" s="9" t="str">
        <f aca="false">02_Flächenspiegel!$B$70</f>
        <v>Villette 2 W3</v>
      </c>
      <c r="C39" s="9" t="str">
        <f aca="false">02_Flächenspiegel!$C$70</f>
        <v>OG2</v>
      </c>
      <c r="D39" s="9" t="str">
        <f aca="false">02_Flächenspiegel!$D$70</f>
        <v>Wohnen</v>
      </c>
      <c r="E39" s="9" t="str">
        <f aca="false">02_Flächenspiegel!$E$70</f>
        <v>5.5 Zi.-Whg.</v>
      </c>
      <c r="F39" s="36" t="n">
        <f aca="false">02_Flächenspiegel!$F$70</f>
        <v>183.1</v>
      </c>
      <c r="G39" s="11" t="n">
        <f aca="false">02_Flächenspiegel!$G$70</f>
        <v>6</v>
      </c>
      <c r="H39" s="36" t="n">
        <f aca="false">02_Flächenspiegel!$J$70</f>
        <v>1098.6</v>
      </c>
    </row>
    <row r="40" customFormat="false" ht="15" hidden="false" customHeight="false" outlineLevel="0" collapsed="false">
      <c r="B40" s="9" t="str">
        <f aca="false">02_Flächenspiegel!$B$71</f>
        <v>Villette 2 W3</v>
      </c>
      <c r="C40" s="9" t="str">
        <f aca="false">02_Flächenspiegel!$C$71</f>
        <v>OG2</v>
      </c>
      <c r="D40" s="9" t="str">
        <f aca="false">02_Flächenspiegel!$D$71</f>
        <v>Wohnen</v>
      </c>
      <c r="E40" s="9" t="str">
        <f aca="false">02_Flächenspiegel!$E$71</f>
        <v>4.5 Zi.-Whg.</v>
      </c>
      <c r="F40" s="36" t="n">
        <f aca="false">02_Flächenspiegel!$F$71</f>
        <v>152.1</v>
      </c>
      <c r="G40" s="11" t="n">
        <f aca="false">02_Flächenspiegel!$G$71</f>
        <v>6</v>
      </c>
      <c r="H40" s="36" t="n">
        <f aca="false">02_Flächenspiegel!$J$71</f>
        <v>912.6</v>
      </c>
    </row>
    <row r="41" customFormat="false" ht="15" hidden="false" customHeight="false" outlineLevel="0" collapsed="false">
      <c r="B41" s="9" t="str">
        <f aca="false">02_Flächenspiegel!$B$72</f>
        <v>Villette 2 W3</v>
      </c>
      <c r="C41" s="9" t="str">
        <f aca="false">02_Flächenspiegel!$C$72</f>
        <v>AT</v>
      </c>
      <c r="D41" s="9" t="str">
        <f aca="false">02_Flächenspiegel!$D$72</f>
        <v>Wohnen</v>
      </c>
      <c r="E41" s="9" t="str">
        <f aca="false">02_Flächenspiegel!$E$72</f>
        <v>3.5 Zi.-Whg.</v>
      </c>
      <c r="F41" s="36" t="n">
        <f aca="false">02_Flächenspiegel!$F$72</f>
        <v>119.2</v>
      </c>
      <c r="G41" s="11" t="n">
        <f aca="false">02_Flächenspiegel!$G$72</f>
        <v>6</v>
      </c>
      <c r="H41" s="36" t="n">
        <f aca="false">02_Flächenspiegel!$J$72</f>
        <v>715.2</v>
      </c>
    </row>
    <row r="42" customFormat="false" ht="15" hidden="false" customHeight="false" outlineLevel="0" collapsed="false">
      <c r="B42" s="9" t="str">
        <f aca="false">02_Flächenspiegel!$B$73</f>
        <v>Villette 2 W3</v>
      </c>
      <c r="C42" s="9" t="str">
        <f aca="false">02_Flächenspiegel!$C$73</f>
        <v>AT</v>
      </c>
      <c r="D42" s="9" t="str">
        <f aca="false">02_Flächenspiegel!$D$73</f>
        <v>Wohnen</v>
      </c>
      <c r="E42" s="9" t="str">
        <f aca="false">02_Flächenspiegel!$E$73</f>
        <v>3.5 Zi.-Whg.</v>
      </c>
      <c r="F42" s="36" t="n">
        <f aca="false">02_Flächenspiegel!$F$73</f>
        <v>97.2</v>
      </c>
      <c r="G42" s="11" t="n">
        <f aca="false">02_Flächenspiegel!$G$73</f>
        <v>6</v>
      </c>
      <c r="H42" s="36" t="n">
        <f aca="false">02_Flächenspiegel!$J$73</f>
        <v>583.2</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L4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16"/>
    <col collapsed="false" customWidth="true" hidden="false" outlineLevel="0" max="3" min="3" style="0" width="44"/>
    <col collapsed="false" customWidth="true" hidden="false" outlineLevel="0" max="11" min="4" style="0" width="12"/>
    <col collapsed="false" customWidth="true" hidden="false" outlineLevel="0" max="12" min="12" style="0" width="11"/>
  </cols>
  <sheetData>
    <row r="2" customFormat="false" ht="19.7" hidden="false" customHeight="false" outlineLevel="0" collapsed="false">
      <c r="B2" s="26" t="s">
        <v>223</v>
      </c>
    </row>
    <row r="3" customFormat="false" ht="15" hidden="false" customHeight="false" outlineLevel="0" collapsed="false">
      <c r="B3" s="4" t="s">
        <v>224</v>
      </c>
    </row>
    <row r="5" customFormat="false" ht="15" hidden="false" customHeight="false" outlineLevel="0" collapsed="false">
      <c r="B5" s="5" t="s">
        <v>225</v>
      </c>
    </row>
    <row r="6" customFormat="false" ht="31.5" hidden="false" customHeight="true" outlineLevel="0" collapsed="false">
      <c r="B6" s="6" t="s">
        <v>39</v>
      </c>
      <c r="C6" s="6" t="s">
        <v>226</v>
      </c>
      <c r="D6" s="7" t="s">
        <v>227</v>
      </c>
      <c r="E6" s="7" t="s">
        <v>228</v>
      </c>
      <c r="F6" s="7" t="s">
        <v>229</v>
      </c>
      <c r="G6" s="7" t="s">
        <v>230</v>
      </c>
      <c r="H6" s="7" t="s">
        <v>231</v>
      </c>
      <c r="I6" s="7" t="s">
        <v>232</v>
      </c>
      <c r="J6" s="7" t="s">
        <v>233</v>
      </c>
    </row>
    <row r="7" customFormat="false" ht="15" hidden="false" customHeight="false" outlineLevel="0" collapsed="false">
      <c r="B7" s="12" t="s">
        <v>234</v>
      </c>
      <c r="C7" s="8" t="s">
        <v>235</v>
      </c>
      <c r="D7" s="19" t="n">
        <f aca="false">16_Residualwert!$K$71</f>
        <v>3.5</v>
      </c>
      <c r="E7" s="34" t="n">
        <f aca="false">D7/$D$12</f>
        <v>0.35</v>
      </c>
      <c r="F7" s="19" t="n">
        <f aca="false">16_Residualwert!$E$71</f>
        <v>19.5156751592357</v>
      </c>
      <c r="G7" s="34" t="n">
        <f aca="false">IF(F7=0,0,D7/F7)</f>
        <v>0.17934301383079</v>
      </c>
      <c r="H7" s="19" t="n">
        <f aca="false">16_Residualwert!$G$71</f>
        <v>10.4843248407643</v>
      </c>
      <c r="I7" s="19" t="n">
        <f aca="false">16_Residualwert!$H$71</f>
        <v>29.7237022278959</v>
      </c>
      <c r="J7" s="8" t="str">
        <f aca="false">G17</f>
        <v>Q1 2029</v>
      </c>
    </row>
    <row r="8" customFormat="false" ht="15" hidden="false" customHeight="false" outlineLevel="0" collapsed="false">
      <c r="B8" s="30" t="s">
        <v>236</v>
      </c>
      <c r="C8" s="29" t="s">
        <v>237</v>
      </c>
      <c r="D8" s="51" t="n">
        <f aca="false">16_Residualwert!$K$72</f>
        <v>2.5</v>
      </c>
      <c r="E8" s="52" t="n">
        <f aca="false">D8/$D$12</f>
        <v>0.25</v>
      </c>
      <c r="F8" s="51" t="n">
        <f aca="false">16_Residualwert!$E$72</f>
        <v>23.808623</v>
      </c>
      <c r="G8" s="52" t="n">
        <f aca="false">IF(F8=0,0,D8/F8)</f>
        <v>0.105003972720304</v>
      </c>
      <c r="H8" s="51" t="n">
        <f aca="false">16_Residualwert!$G$72</f>
        <v>11.7535996776835</v>
      </c>
      <c r="I8" s="51" t="n">
        <f aca="false">16_Residualwert!$H$72</f>
        <v>35.8471760465718</v>
      </c>
      <c r="J8" s="29" t="str">
        <f aca="false">G18</f>
        <v>Q4 2029</v>
      </c>
    </row>
    <row r="9" customFormat="false" ht="15" hidden="false" customHeight="false" outlineLevel="0" collapsed="false">
      <c r="B9" s="12" t="s">
        <v>238</v>
      </c>
      <c r="C9" s="8" t="s">
        <v>239</v>
      </c>
      <c r="D9" s="19" t="n">
        <f aca="false">16_Residualwert!$K$73</f>
        <v>2</v>
      </c>
      <c r="E9" s="34" t="n">
        <f aca="false">D9/$D$12</f>
        <v>0.2</v>
      </c>
      <c r="F9" s="19" t="n">
        <f aca="false">16_Residualwert!$E$73</f>
        <v>27.2637281984441</v>
      </c>
      <c r="G9" s="34" t="n">
        <f aca="false">IF(F9=0,0,D9/F9)</f>
        <v>0.0733575388311765</v>
      </c>
      <c r="H9" s="19" t="n">
        <f aca="false">16_Residualwert!$G$73</f>
        <v>9.73627180155594</v>
      </c>
      <c r="I9" s="19" t="n">
        <f aca="false">16_Residualwert!$H$73</f>
        <v>37.0484409625339</v>
      </c>
      <c r="J9" s="8" t="str">
        <f aca="false">G19</f>
        <v>Q1 2030</v>
      </c>
    </row>
    <row r="10" customFormat="false" ht="15" hidden="false" customHeight="false" outlineLevel="0" collapsed="false">
      <c r="B10" s="12" t="s">
        <v>240</v>
      </c>
      <c r="C10" s="8" t="s">
        <v>241</v>
      </c>
      <c r="D10" s="19" t="n">
        <f aca="false">16_Residualwert!$K$74</f>
        <v>0.5</v>
      </c>
      <c r="E10" s="34" t="n">
        <f aca="false">D10/$D$12</f>
        <v>0.05</v>
      </c>
      <c r="F10" s="19" t="n">
        <f aca="false">16_Residualwert!$E$74</f>
        <v>38.5828333333333</v>
      </c>
      <c r="G10" s="34" t="n">
        <f aca="false">IF(F10=0,0,D10/F10)</f>
        <v>0.012959131219843</v>
      </c>
      <c r="H10" s="19" t="n">
        <f aca="false">16_Residualwert!$G$74</f>
        <v>31.4171666666667</v>
      </c>
      <c r="I10" s="19" t="n">
        <f aca="false">16_Residualwert!$H$74</f>
        <v>59.6529995250226</v>
      </c>
      <c r="J10" s="8" t="str">
        <f aca="false">G20</f>
        <v>Q4 2031 (Reserve 2032/33)</v>
      </c>
    </row>
    <row r="11" customFormat="false" ht="15" hidden="false" customHeight="false" outlineLevel="0" collapsed="false">
      <c r="B11" s="8" t="s">
        <v>242</v>
      </c>
      <c r="C11" s="8" t="s">
        <v>243</v>
      </c>
      <c r="D11" s="19" t="n">
        <f aca="false">16_Residualwert!$E$54</f>
        <v>1.5</v>
      </c>
      <c r="E11" s="34" t="n">
        <f aca="false">D11/$D$12</f>
        <v>0.15</v>
      </c>
    </row>
    <row r="12" customFormat="false" ht="15" hidden="false" customHeight="false" outlineLevel="0" collapsed="false">
      <c r="B12" s="20"/>
      <c r="C12" s="20" t="s">
        <v>244</v>
      </c>
      <c r="D12" s="53" t="n">
        <f aca="false">SUM(D7:D11)</f>
        <v>10</v>
      </c>
      <c r="E12" s="54" t="n">
        <f aca="false">SUM(E7:E11)</f>
        <v>1</v>
      </c>
      <c r="F12" s="53" t="n">
        <f aca="false">SUM(F7:F10)</f>
        <v>109.170859691013</v>
      </c>
      <c r="G12" s="54" t="n">
        <f aca="false">IF(F12=0,0,SUM(D7:D10)/F12)</f>
        <v>0.0778596048804379</v>
      </c>
      <c r="H12" s="53" t="n">
        <f aca="false">SUM(H7:H10)</f>
        <v>63.3913629866704</v>
      </c>
      <c r="I12" s="53" t="n">
        <f aca="false">SUM(I7:I10)</f>
        <v>162.272318762024</v>
      </c>
      <c r="J12" s="20"/>
    </row>
    <row r="13" customFormat="false" ht="15" hidden="false" customHeight="false" outlineLevel="0" collapsed="false">
      <c r="B13" s="4" t="s">
        <v>245</v>
      </c>
      <c r="G13" s="55" t="n">
        <f aca="false">D12-10</f>
        <v>0</v>
      </c>
    </row>
    <row r="15" customFormat="false" ht="15" hidden="false" customHeight="false" outlineLevel="0" collapsed="false">
      <c r="B15" s="5" t="s">
        <v>246</v>
      </c>
    </row>
    <row r="16" customFormat="false" ht="21.75" hidden="false" customHeight="true" outlineLevel="0" collapsed="false">
      <c r="B16" s="6" t="s">
        <v>39</v>
      </c>
      <c r="C16" s="6" t="s">
        <v>226</v>
      </c>
      <c r="D16" s="7" t="s">
        <v>174</v>
      </c>
      <c r="E16" s="7" t="s">
        <v>175</v>
      </c>
      <c r="F16" s="7" t="s">
        <v>176</v>
      </c>
      <c r="G16" s="7" t="s">
        <v>177</v>
      </c>
      <c r="H16" s="6" t="s">
        <v>8</v>
      </c>
    </row>
    <row r="17" customFormat="false" ht="15" hidden="false" customHeight="false" outlineLevel="0" collapsed="false">
      <c r="B17" s="12" t="s">
        <v>234</v>
      </c>
      <c r="C17" s="8" t="s">
        <v>235</v>
      </c>
      <c r="D17" s="56" t="s">
        <v>247</v>
      </c>
      <c r="E17" s="56" t="s">
        <v>248</v>
      </c>
      <c r="F17" s="56" t="s">
        <v>189</v>
      </c>
      <c r="G17" s="56" t="s">
        <v>249</v>
      </c>
      <c r="H17" s="10" t="s">
        <v>250</v>
      </c>
    </row>
    <row r="18" customFormat="false" ht="15" hidden="false" customHeight="false" outlineLevel="0" collapsed="false">
      <c r="B18" s="30" t="s">
        <v>236</v>
      </c>
      <c r="C18" s="29" t="s">
        <v>237</v>
      </c>
      <c r="D18" s="57" t="s">
        <v>247</v>
      </c>
      <c r="E18" s="57" t="s">
        <v>186</v>
      </c>
      <c r="F18" s="57" t="s">
        <v>190</v>
      </c>
      <c r="G18" s="57" t="s">
        <v>251</v>
      </c>
      <c r="H18" s="58" t="s">
        <v>252</v>
      </c>
    </row>
    <row r="19" customFormat="false" ht="15" hidden="false" customHeight="false" outlineLevel="0" collapsed="false">
      <c r="B19" s="12" t="s">
        <v>238</v>
      </c>
      <c r="C19" s="8" t="s">
        <v>239</v>
      </c>
      <c r="D19" s="56" t="s">
        <v>247</v>
      </c>
      <c r="E19" s="56" t="s">
        <v>186</v>
      </c>
      <c r="F19" s="56" t="s">
        <v>190</v>
      </c>
      <c r="G19" s="56" t="s">
        <v>253</v>
      </c>
      <c r="H19" s="10" t="s">
        <v>254</v>
      </c>
    </row>
    <row r="20" customFormat="false" ht="15" hidden="false" customHeight="false" outlineLevel="0" collapsed="false">
      <c r="B20" s="12" t="s">
        <v>240</v>
      </c>
      <c r="C20" s="8" t="s">
        <v>241</v>
      </c>
      <c r="D20" s="56" t="s">
        <v>185</v>
      </c>
      <c r="E20" s="56" t="s">
        <v>255</v>
      </c>
      <c r="F20" s="56" t="s">
        <v>256</v>
      </c>
      <c r="G20" s="56" t="s">
        <v>257</v>
      </c>
      <c r="H20" s="10" t="s">
        <v>258</v>
      </c>
    </row>
    <row r="23" customFormat="false" ht="15" hidden="false" customHeight="false" outlineLevel="0" collapsed="false">
      <c r="B23" s="5" t="s">
        <v>259</v>
      </c>
    </row>
    <row r="24" customFormat="false" ht="21.75" hidden="false" customHeight="true" outlineLevel="0" collapsed="false">
      <c r="B24" s="6" t="s">
        <v>260</v>
      </c>
      <c r="C24" s="7" t="s">
        <v>261</v>
      </c>
      <c r="D24" s="7" t="s">
        <v>184</v>
      </c>
      <c r="E24" s="7" t="s">
        <v>185</v>
      </c>
      <c r="F24" s="7" t="s">
        <v>186</v>
      </c>
      <c r="G24" s="7" t="s">
        <v>187</v>
      </c>
      <c r="H24" s="7" t="s">
        <v>188</v>
      </c>
      <c r="I24" s="7" t="s">
        <v>189</v>
      </c>
      <c r="J24" s="7" t="s">
        <v>190</v>
      </c>
      <c r="K24" s="7" t="s">
        <v>191</v>
      </c>
      <c r="L24" s="7" t="s">
        <v>192</v>
      </c>
    </row>
    <row r="25" customFormat="false" ht="15" hidden="false" customHeight="false" outlineLevel="0" collapsed="false">
      <c r="B25" s="12" t="s">
        <v>234</v>
      </c>
      <c r="C25" s="59" t="n">
        <f aca="false">D7</f>
        <v>3.5</v>
      </c>
      <c r="D25" s="60" t="n">
        <v>0.15</v>
      </c>
      <c r="E25" s="60" t="n">
        <v>0.15</v>
      </c>
      <c r="F25" s="60" t="n">
        <v>0.15</v>
      </c>
      <c r="G25" s="60" t="n">
        <v>0.15</v>
      </c>
      <c r="H25" s="60" t="n">
        <v>0.15</v>
      </c>
      <c r="I25" s="60" t="n">
        <v>0.15</v>
      </c>
      <c r="J25" s="60" t="n">
        <v>0.05</v>
      </c>
      <c r="K25" s="60" t="n">
        <v>0.05</v>
      </c>
      <c r="L25" s="61" t="n">
        <f aca="false">SUM(D25:K25)</f>
        <v>1</v>
      </c>
    </row>
    <row r="26" customFormat="false" ht="15" hidden="false" customHeight="false" outlineLevel="0" collapsed="false">
      <c r="B26" s="12" t="s">
        <v>236</v>
      </c>
      <c r="C26" s="59" t="n">
        <f aca="false">D8</f>
        <v>2.5</v>
      </c>
      <c r="D26" s="60" t="n">
        <v>0.1</v>
      </c>
      <c r="E26" s="60" t="n">
        <v>0.15</v>
      </c>
      <c r="F26" s="60" t="n">
        <v>0.2</v>
      </c>
      <c r="G26" s="60" t="n">
        <v>0.1</v>
      </c>
      <c r="H26" s="60" t="n">
        <v>0.1</v>
      </c>
      <c r="I26" s="60" t="n">
        <v>0.15</v>
      </c>
      <c r="J26" s="60" t="n">
        <v>0.15</v>
      </c>
      <c r="K26" s="60" t="n">
        <v>0.05</v>
      </c>
      <c r="L26" s="61" t="n">
        <f aca="false">SUM(D26:K26)</f>
        <v>1</v>
      </c>
    </row>
    <row r="27" customFormat="false" ht="15" hidden="false" customHeight="false" outlineLevel="0" collapsed="false">
      <c r="B27" s="12" t="s">
        <v>238</v>
      </c>
      <c r="C27" s="59" t="n">
        <f aca="false">D9</f>
        <v>2</v>
      </c>
      <c r="D27" s="60" t="n">
        <v>0.1</v>
      </c>
      <c r="E27" s="60" t="n">
        <v>0.15</v>
      </c>
      <c r="F27" s="60" t="n">
        <v>0.2</v>
      </c>
      <c r="G27" s="60" t="n">
        <v>0.1</v>
      </c>
      <c r="H27" s="60" t="n">
        <v>0.1</v>
      </c>
      <c r="I27" s="60" t="n">
        <v>0.15</v>
      </c>
      <c r="J27" s="60" t="n">
        <v>0.15</v>
      </c>
      <c r="K27" s="60" t="n">
        <v>0.05</v>
      </c>
      <c r="L27" s="61" t="n">
        <f aca="false">SUM(D27:K27)</f>
        <v>1</v>
      </c>
    </row>
    <row r="28" customFormat="false" ht="15" hidden="false" customHeight="false" outlineLevel="0" collapsed="false">
      <c r="B28" s="12" t="s">
        <v>240</v>
      </c>
      <c r="C28" s="59" t="n">
        <f aca="false">D10</f>
        <v>0.5</v>
      </c>
      <c r="D28" s="60" t="n">
        <v>0.2</v>
      </c>
      <c r="E28" s="60" t="n">
        <v>0.3</v>
      </c>
      <c r="F28" s="60" t="n">
        <v>0.2</v>
      </c>
      <c r="G28" s="60" t="n">
        <v>0.1</v>
      </c>
      <c r="H28" s="60" t="n">
        <v>0.1</v>
      </c>
      <c r="I28" s="60" t="n">
        <v>0.05</v>
      </c>
      <c r="J28" s="60" t="n">
        <v>0.05</v>
      </c>
      <c r="K28" s="60" t="n">
        <v>0</v>
      </c>
      <c r="L28" s="61" t="n">
        <f aca="false">SUM(D28:K28)</f>
        <v>1</v>
      </c>
    </row>
    <row r="29" customFormat="false" ht="15" hidden="false" customHeight="false" outlineLevel="0" collapsed="false">
      <c r="B29" s="12" t="s">
        <v>262</v>
      </c>
      <c r="C29" s="59" t="n">
        <f aca="false">D11</f>
        <v>1.5</v>
      </c>
      <c r="D29" s="60" t="n">
        <v>0.125</v>
      </c>
      <c r="E29" s="60" t="n">
        <v>0.125</v>
      </c>
      <c r="F29" s="60" t="n">
        <v>0.125</v>
      </c>
      <c r="G29" s="60" t="n">
        <v>0.125</v>
      </c>
      <c r="H29" s="60" t="n">
        <v>0.125</v>
      </c>
      <c r="I29" s="60" t="n">
        <v>0.125</v>
      </c>
      <c r="J29" s="60" t="n">
        <v>0.125</v>
      </c>
      <c r="K29" s="60" t="n">
        <v>0.125</v>
      </c>
      <c r="L29" s="61" t="n">
        <f aca="false">SUM(D29:K29)</f>
        <v>1</v>
      </c>
    </row>
    <row r="31" customFormat="false" ht="21.75" hidden="false" customHeight="true" outlineLevel="0" collapsed="false">
      <c r="B31" s="6" t="s">
        <v>263</v>
      </c>
      <c r="C31" s="7" t="s">
        <v>264</v>
      </c>
      <c r="D31" s="7" t="s">
        <v>184</v>
      </c>
      <c r="E31" s="7" t="s">
        <v>185</v>
      </c>
      <c r="F31" s="7" t="s">
        <v>186</v>
      </c>
      <c r="G31" s="7" t="s">
        <v>187</v>
      </c>
      <c r="H31" s="7" t="s">
        <v>188</v>
      </c>
      <c r="I31" s="7" t="s">
        <v>189</v>
      </c>
      <c r="J31" s="7" t="s">
        <v>190</v>
      </c>
      <c r="K31" s="7" t="s">
        <v>191</v>
      </c>
      <c r="L31" s="7" t="s">
        <v>192</v>
      </c>
    </row>
    <row r="32" customFormat="false" ht="15" hidden="false" customHeight="false" outlineLevel="0" collapsed="false">
      <c r="B32" s="12" t="s">
        <v>234</v>
      </c>
      <c r="C32" s="28" t="n">
        <f aca="false">C25*1000000</f>
        <v>3500000</v>
      </c>
      <c r="D32" s="28" t="n">
        <f aca="false">$C32*D25</f>
        <v>525000</v>
      </c>
      <c r="E32" s="28" t="n">
        <f aca="false">$C32*E25</f>
        <v>525000</v>
      </c>
      <c r="F32" s="28" t="n">
        <f aca="false">$C32*F25</f>
        <v>525000</v>
      </c>
      <c r="G32" s="28" t="n">
        <f aca="false">$C32*G25</f>
        <v>525000</v>
      </c>
      <c r="H32" s="28" t="n">
        <f aca="false">$C32*H25</f>
        <v>525000</v>
      </c>
      <c r="I32" s="28" t="n">
        <f aca="false">$C32*I25</f>
        <v>525000</v>
      </c>
      <c r="J32" s="28" t="n">
        <f aca="false">$C32*J25</f>
        <v>175000</v>
      </c>
      <c r="K32" s="28" t="n">
        <f aca="false">$C32*K25</f>
        <v>175000</v>
      </c>
      <c r="L32" s="62" t="n">
        <f aca="false">SUM(D32:K32)</f>
        <v>3500000</v>
      </c>
    </row>
    <row r="33" customFormat="false" ht="15" hidden="false" customHeight="false" outlineLevel="0" collapsed="false">
      <c r="B33" s="30" t="s">
        <v>236</v>
      </c>
      <c r="C33" s="32" t="n">
        <f aca="false">C26*1000000</f>
        <v>2500000</v>
      </c>
      <c r="D33" s="32" t="n">
        <f aca="false">$C33*D26</f>
        <v>250000</v>
      </c>
      <c r="E33" s="32" t="n">
        <f aca="false">$C33*E26</f>
        <v>375000</v>
      </c>
      <c r="F33" s="32" t="n">
        <f aca="false">$C33*F26</f>
        <v>500000</v>
      </c>
      <c r="G33" s="32" t="n">
        <f aca="false">$C33*G26</f>
        <v>250000</v>
      </c>
      <c r="H33" s="32" t="n">
        <f aca="false">$C33*H26</f>
        <v>250000</v>
      </c>
      <c r="I33" s="32" t="n">
        <f aca="false">$C33*I26</f>
        <v>375000</v>
      </c>
      <c r="J33" s="32" t="n">
        <f aca="false">$C33*J26</f>
        <v>375000</v>
      </c>
      <c r="K33" s="32" t="n">
        <f aca="false">$C33*K26</f>
        <v>125000</v>
      </c>
      <c r="L33" s="63" t="n">
        <f aca="false">SUM(D33:K33)</f>
        <v>2500000</v>
      </c>
    </row>
    <row r="34" customFormat="false" ht="15" hidden="false" customHeight="false" outlineLevel="0" collapsed="false">
      <c r="B34" s="12" t="s">
        <v>238</v>
      </c>
      <c r="C34" s="28" t="n">
        <f aca="false">C27*1000000</f>
        <v>2000000</v>
      </c>
      <c r="D34" s="28" t="n">
        <f aca="false">$C34*D27</f>
        <v>200000</v>
      </c>
      <c r="E34" s="28" t="n">
        <f aca="false">$C34*E27</f>
        <v>300000</v>
      </c>
      <c r="F34" s="28" t="n">
        <f aca="false">$C34*F27</f>
        <v>400000</v>
      </c>
      <c r="G34" s="28" t="n">
        <f aca="false">$C34*G27</f>
        <v>200000</v>
      </c>
      <c r="H34" s="28" t="n">
        <f aca="false">$C34*H27</f>
        <v>200000</v>
      </c>
      <c r="I34" s="28" t="n">
        <f aca="false">$C34*I27</f>
        <v>300000</v>
      </c>
      <c r="J34" s="28" t="n">
        <f aca="false">$C34*J27</f>
        <v>300000</v>
      </c>
      <c r="K34" s="28" t="n">
        <f aca="false">$C34*K27</f>
        <v>100000</v>
      </c>
      <c r="L34" s="62" t="n">
        <f aca="false">SUM(D34:K34)</f>
        <v>2000000</v>
      </c>
    </row>
    <row r="35" customFormat="false" ht="15" hidden="false" customHeight="false" outlineLevel="0" collapsed="false">
      <c r="B35" s="12" t="s">
        <v>240</v>
      </c>
      <c r="C35" s="28" t="n">
        <f aca="false">C28*1000000</f>
        <v>500000</v>
      </c>
      <c r="D35" s="28" t="n">
        <f aca="false">$C35*D28</f>
        <v>100000</v>
      </c>
      <c r="E35" s="28" t="n">
        <f aca="false">$C35*E28</f>
        <v>150000</v>
      </c>
      <c r="F35" s="28" t="n">
        <f aca="false">$C35*F28</f>
        <v>100000</v>
      </c>
      <c r="G35" s="28" t="n">
        <f aca="false">$C35*G28</f>
        <v>50000</v>
      </c>
      <c r="H35" s="28" t="n">
        <f aca="false">$C35*H28</f>
        <v>50000</v>
      </c>
      <c r="I35" s="28" t="n">
        <f aca="false">$C35*I28</f>
        <v>25000</v>
      </c>
      <c r="J35" s="28" t="n">
        <f aca="false">$C35*J28</f>
        <v>25000</v>
      </c>
      <c r="K35" s="28" t="n">
        <f aca="false">$C35*K28</f>
        <v>0</v>
      </c>
      <c r="L35" s="62" t="n">
        <f aca="false">SUM(D35:K35)</f>
        <v>500000</v>
      </c>
    </row>
    <row r="36" customFormat="false" ht="15" hidden="false" customHeight="false" outlineLevel="0" collapsed="false">
      <c r="B36" s="12" t="s">
        <v>262</v>
      </c>
      <c r="C36" s="28" t="n">
        <f aca="false">C29*1000000</f>
        <v>1500000</v>
      </c>
      <c r="D36" s="28" t="n">
        <f aca="false">$C36*D29</f>
        <v>187500</v>
      </c>
      <c r="E36" s="28" t="n">
        <f aca="false">$C36*E29</f>
        <v>187500</v>
      </c>
      <c r="F36" s="28" t="n">
        <f aca="false">$C36*F29</f>
        <v>187500</v>
      </c>
      <c r="G36" s="28" t="n">
        <f aca="false">$C36*G29</f>
        <v>187500</v>
      </c>
      <c r="H36" s="28" t="n">
        <f aca="false">$C36*H29</f>
        <v>187500</v>
      </c>
      <c r="I36" s="28" t="n">
        <f aca="false">$C36*I29</f>
        <v>187500</v>
      </c>
      <c r="J36" s="28" t="n">
        <f aca="false">$C36*J29</f>
        <v>187500</v>
      </c>
      <c r="K36" s="28" t="n">
        <f aca="false">$C36*K29</f>
        <v>187500</v>
      </c>
      <c r="L36" s="62" t="n">
        <f aca="false">SUM(D36:K36)</f>
        <v>1500000</v>
      </c>
    </row>
    <row r="37" customFormat="false" ht="15" hidden="false" customHeight="false" outlineLevel="0" collapsed="false">
      <c r="B37" s="20" t="s">
        <v>265</v>
      </c>
      <c r="C37" s="23" t="n">
        <f aca="false">SUM(C32:C36)</f>
        <v>10000000</v>
      </c>
      <c r="D37" s="23" t="n">
        <f aca="false">SUM(D32:D36)</f>
        <v>1262500</v>
      </c>
      <c r="E37" s="23" t="n">
        <f aca="false">SUM(E32:E36)</f>
        <v>1537500</v>
      </c>
      <c r="F37" s="23" t="n">
        <f aca="false">SUM(F32:F36)</f>
        <v>1712500</v>
      </c>
      <c r="G37" s="23" t="n">
        <f aca="false">SUM(G32:G36)</f>
        <v>1212500</v>
      </c>
      <c r="H37" s="23" t="n">
        <f aca="false">SUM(H32:H36)</f>
        <v>1212500</v>
      </c>
      <c r="I37" s="23" t="n">
        <f aca="false">SUM(I32:I36)</f>
        <v>1412500</v>
      </c>
      <c r="J37" s="23" t="n">
        <f aca="false">SUM(J32:J36)</f>
        <v>1062500</v>
      </c>
      <c r="K37" s="23" t="n">
        <f aca="false">SUM(K32:K36)</f>
        <v>587500</v>
      </c>
      <c r="L37" s="23" t="n">
        <f aca="false">SUM(L32:L36)</f>
        <v>10000000</v>
      </c>
    </row>
    <row r="38" customFormat="false" ht="15" hidden="false" customHeight="false" outlineLevel="0" collapsed="false">
      <c r="B38" s="8" t="s">
        <v>266</v>
      </c>
      <c r="D38" s="28" t="n">
        <f aca="false">SUM($D$37:D37)</f>
        <v>1262500</v>
      </c>
      <c r="E38" s="28" t="n">
        <f aca="false">SUM($D$37:E37)</f>
        <v>2800000</v>
      </c>
      <c r="F38" s="28" t="n">
        <f aca="false">SUM($D$37:F37)</f>
        <v>4512500</v>
      </c>
      <c r="G38" s="28" t="n">
        <f aca="false">SUM($D$37:G37)</f>
        <v>5725000</v>
      </c>
      <c r="H38" s="28" t="n">
        <f aca="false">SUM($D$37:H37)</f>
        <v>6937500</v>
      </c>
      <c r="I38" s="28" t="n">
        <f aca="false">SUM($D$37:I37)</f>
        <v>8350000</v>
      </c>
      <c r="J38" s="28" t="n">
        <f aca="false">SUM($D$37:J37)</f>
        <v>9412500</v>
      </c>
      <c r="K38" s="28" t="n">
        <f aca="false">SUM($D$37:K37)</f>
        <v>10000000</v>
      </c>
    </row>
    <row r="39" customFormat="false" ht="15" hidden="false" customHeight="false" outlineLevel="0" collapsed="false">
      <c r="B39" s="8" t="s">
        <v>267</v>
      </c>
      <c r="D39" s="34" t="n">
        <f aca="false">D38/($D$12*1000000)</f>
        <v>0.12625</v>
      </c>
      <c r="E39" s="34" t="n">
        <f aca="false">E38/($D$12*1000000)</f>
        <v>0.28</v>
      </c>
      <c r="F39" s="34" t="n">
        <f aca="false">F38/($D$12*1000000)</f>
        <v>0.45125</v>
      </c>
      <c r="G39" s="34" t="n">
        <f aca="false">G38/($D$12*1000000)</f>
        <v>0.5725</v>
      </c>
      <c r="H39" s="34" t="n">
        <f aca="false">H38/($D$12*1000000)</f>
        <v>0.69375</v>
      </c>
      <c r="I39" s="34" t="n">
        <f aca="false">I38/($D$12*1000000)</f>
        <v>0.835</v>
      </c>
      <c r="J39" s="34" t="n">
        <f aca="false">J38/($D$12*1000000)</f>
        <v>0.94125</v>
      </c>
      <c r="K39" s="34" t="n">
        <f aca="false">K38/($D$12*1000000)</f>
        <v>1</v>
      </c>
    </row>
    <row r="41" customFormat="false" ht="15" hidden="false" customHeight="false" outlineLevel="0" collapsed="false">
      <c r="B41" s="5" t="s">
        <v>268</v>
      </c>
    </row>
    <row r="42" customFormat="false" ht="21.75" hidden="false" customHeight="true" outlineLevel="0" collapsed="false">
      <c r="B42" s="6" t="s">
        <v>39</v>
      </c>
      <c r="C42" s="7"/>
      <c r="D42" s="7" t="s">
        <v>184</v>
      </c>
      <c r="E42" s="7" t="s">
        <v>185</v>
      </c>
      <c r="F42" s="7" t="s">
        <v>186</v>
      </c>
      <c r="G42" s="7" t="s">
        <v>187</v>
      </c>
      <c r="H42" s="7" t="s">
        <v>188</v>
      </c>
      <c r="I42" s="7" t="s">
        <v>189</v>
      </c>
      <c r="J42" s="7" t="s">
        <v>190</v>
      </c>
      <c r="K42" s="7" t="s">
        <v>191</v>
      </c>
      <c r="L42" s="7"/>
    </row>
    <row r="43" customFormat="false" ht="15" hidden="false" customHeight="false" outlineLevel="0" collapsed="false">
      <c r="B43" s="12" t="s">
        <v>234</v>
      </c>
      <c r="D43" s="64"/>
      <c r="E43" s="64"/>
      <c r="F43" s="64"/>
      <c r="G43" s="64"/>
      <c r="H43" s="64"/>
      <c r="I43" s="65" t="s">
        <v>269</v>
      </c>
      <c r="J43" s="64"/>
      <c r="K43" s="64"/>
    </row>
    <row r="44" customFormat="false" ht="15" hidden="false" customHeight="false" outlineLevel="0" collapsed="false">
      <c r="B44" s="12" t="s">
        <v>236</v>
      </c>
      <c r="D44" s="64"/>
      <c r="E44" s="64"/>
      <c r="F44" s="65" t="s">
        <v>270</v>
      </c>
      <c r="G44" s="64"/>
      <c r="H44" s="64"/>
      <c r="I44" s="64"/>
      <c r="J44" s="65" t="s">
        <v>269</v>
      </c>
      <c r="K44" s="64"/>
    </row>
    <row r="45" customFormat="false" ht="15" hidden="false" customHeight="false" outlineLevel="0" collapsed="false">
      <c r="B45" s="12" t="s">
        <v>238</v>
      </c>
      <c r="D45" s="64"/>
      <c r="E45" s="64"/>
      <c r="F45" s="65" t="s">
        <v>270</v>
      </c>
      <c r="G45" s="64"/>
      <c r="H45" s="64"/>
      <c r="I45" s="64"/>
      <c r="J45" s="65" t="s">
        <v>269</v>
      </c>
      <c r="K45" s="64"/>
    </row>
    <row r="46" customFormat="false" ht="15" hidden="false" customHeight="false" outlineLevel="0" collapsed="false">
      <c r="B46" s="12" t="s">
        <v>240</v>
      </c>
      <c r="D46" s="64"/>
      <c r="E46" s="65" t="s">
        <v>271</v>
      </c>
      <c r="F46" s="64"/>
      <c r="G46" s="64"/>
      <c r="H46" s="64"/>
      <c r="I46" s="64"/>
      <c r="J46" s="64"/>
      <c r="K46" s="64"/>
    </row>
    <row r="48" customFormat="false" ht="15" hidden="false" customHeight="false" outlineLevel="0" collapsed="false">
      <c r="B48" s="4" t="s">
        <v>272</v>
      </c>
    </row>
    <row r="49" customFormat="false" ht="15" hidden="false" customHeight="false" outlineLevel="0" collapsed="false">
      <c r="B49" s="4" t="s">
        <v>273</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N8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52"/>
    <col collapsed="false" customWidth="true" hidden="false" outlineLevel="0" max="3" min="3" style="0" width="13"/>
    <col collapsed="false" customWidth="true" hidden="false" outlineLevel="0" max="7" min="4" style="0" width="12"/>
    <col collapsed="false" customWidth="true" hidden="false" outlineLevel="0" max="9" min="8" style="0" width="13"/>
    <col collapsed="false" customWidth="true" hidden="false" outlineLevel="0" max="10" min="10" style="0" width="12"/>
    <col collapsed="false" customWidth="true" hidden="false" outlineLevel="0" max="13" min="11" style="0" width="13"/>
    <col collapsed="false" customWidth="true" hidden="false" outlineLevel="0" max="14" min="14" style="0" width="11"/>
  </cols>
  <sheetData>
    <row r="2" customFormat="false" ht="19.7" hidden="false" customHeight="false" outlineLevel="0" collapsed="false">
      <c r="B2" s="26" t="s">
        <v>274</v>
      </c>
    </row>
    <row r="3" customFormat="false" ht="15" hidden="false" customHeight="false" outlineLevel="0" collapsed="false">
      <c r="B3" s="4" t="s">
        <v>275</v>
      </c>
    </row>
    <row r="5" customFormat="false" ht="15" hidden="false" customHeight="false" outlineLevel="0" collapsed="false">
      <c r="B5" s="12" t="s">
        <v>276</v>
      </c>
      <c r="C5" s="66" t="n">
        <v>2</v>
      </c>
      <c r="D5" s="12" t="str">
        <f aca="false">INDEX(09_Szenarien!$C$6:$F$6,$C$5)</f>
        <v>Basis</v>
      </c>
    </row>
    <row r="7" customFormat="false" ht="15" hidden="false" customHeight="false" outlineLevel="0" collapsed="false">
      <c r="B7" s="5" t="s">
        <v>277</v>
      </c>
    </row>
    <row r="8" customFormat="false" ht="19.5" hidden="false" customHeight="true" outlineLevel="0" collapsed="false">
      <c r="B8" s="6" t="s">
        <v>278</v>
      </c>
      <c r="C8" s="7" t="s">
        <v>6</v>
      </c>
      <c r="D8" s="6" t="s">
        <v>7</v>
      </c>
      <c r="E8" s="7" t="s">
        <v>279</v>
      </c>
    </row>
    <row r="9" customFormat="false" ht="15" hidden="false" customHeight="false" outlineLevel="0" collapsed="false">
      <c r="B9" s="8" t="s">
        <v>280</v>
      </c>
      <c r="C9" s="44" t="n">
        <f aca="false">INDEX(09_Szenarien!$C$8:$F$8,$C$5)</f>
        <v>0.05</v>
      </c>
      <c r="D9" s="8"/>
      <c r="E9" s="8" t="s">
        <v>281</v>
      </c>
    </row>
    <row r="10" customFormat="false" ht="15" hidden="false" customHeight="false" outlineLevel="0" collapsed="false">
      <c r="B10" s="8" t="s">
        <v>282</v>
      </c>
      <c r="C10" s="11" t="n">
        <f aca="false">INDEX(09_Szenarien!$C$9:$F$9,$C$5)</f>
        <v>200</v>
      </c>
      <c r="D10" s="8" t="s">
        <v>283</v>
      </c>
      <c r="E10" s="8" t="s">
        <v>281</v>
      </c>
    </row>
    <row r="11" customFormat="false" ht="15" hidden="false" customHeight="false" outlineLevel="0" collapsed="false">
      <c r="B11" s="8" t="s">
        <v>284</v>
      </c>
      <c r="C11" s="11" t="n">
        <f aca="false">INDEX(09_Szenarien!$C$10:$F$10,$C$5)</f>
        <v>165</v>
      </c>
      <c r="D11" s="8" t="s">
        <v>283</v>
      </c>
      <c r="E11" s="8" t="s">
        <v>281</v>
      </c>
    </row>
    <row r="12" customFormat="false" ht="15" hidden="false" customHeight="false" outlineLevel="0" collapsed="false">
      <c r="B12" s="8" t="s">
        <v>285</v>
      </c>
      <c r="C12" s="38" t="n">
        <v>0.55</v>
      </c>
      <c r="D12" s="8"/>
      <c r="E12" s="8" t="s">
        <v>286</v>
      </c>
    </row>
    <row r="13" customFormat="false" ht="15" hidden="false" customHeight="false" outlineLevel="0" collapsed="false">
      <c r="B13" s="8" t="s">
        <v>287</v>
      </c>
      <c r="C13" s="67" t="n">
        <v>0.35</v>
      </c>
      <c r="D13" s="8"/>
      <c r="E13" s="8" t="s">
        <v>286</v>
      </c>
    </row>
    <row r="14" customFormat="false" ht="15" hidden="false" customHeight="false" outlineLevel="0" collapsed="false">
      <c r="B14" s="8" t="s">
        <v>288</v>
      </c>
      <c r="C14" s="67" t="n">
        <v>0</v>
      </c>
      <c r="D14" s="8"/>
      <c r="E14" s="8" t="s">
        <v>286</v>
      </c>
    </row>
    <row r="15" customFormat="false" ht="15" hidden="false" customHeight="false" outlineLevel="0" collapsed="false">
      <c r="B15" s="8" t="s">
        <v>289</v>
      </c>
      <c r="C15" s="68" t="n">
        <v>0</v>
      </c>
      <c r="D15" s="8"/>
      <c r="E15" s="8" t="s">
        <v>286</v>
      </c>
    </row>
    <row r="16" customFormat="false" ht="15" hidden="false" customHeight="false" outlineLevel="0" collapsed="false">
      <c r="B16" s="8" t="s">
        <v>290</v>
      </c>
      <c r="C16" s="68" t="n">
        <v>0.0015</v>
      </c>
      <c r="D16" s="8"/>
      <c r="E16" s="8" t="s">
        <v>291</v>
      </c>
    </row>
    <row r="17" customFormat="false" ht="15" hidden="false" customHeight="false" outlineLevel="0" collapsed="false">
      <c r="B17" s="8" t="s">
        <v>292</v>
      </c>
      <c r="C17" s="69" t="n">
        <v>10</v>
      </c>
      <c r="D17" s="8" t="s">
        <v>293</v>
      </c>
      <c r="E17" s="8" t="s">
        <v>286</v>
      </c>
    </row>
    <row r="20" customFormat="false" ht="15" hidden="false" customHeight="false" outlineLevel="0" collapsed="false">
      <c r="B20" s="5" t="s">
        <v>294</v>
      </c>
    </row>
    <row r="21" customFormat="false" ht="43.5" hidden="false" customHeight="true" outlineLevel="0" collapsed="false">
      <c r="B21" s="6" t="s">
        <v>103</v>
      </c>
      <c r="C21" s="7" t="s">
        <v>295</v>
      </c>
      <c r="D21" s="7" t="s">
        <v>296</v>
      </c>
      <c r="E21" s="7" t="s">
        <v>297</v>
      </c>
      <c r="F21" s="7" t="s">
        <v>298</v>
      </c>
      <c r="G21" s="7" t="s">
        <v>299</v>
      </c>
      <c r="H21" s="7" t="s">
        <v>300</v>
      </c>
      <c r="I21" s="7" t="s">
        <v>301</v>
      </c>
      <c r="J21" s="7" t="s">
        <v>302</v>
      </c>
      <c r="K21" s="7" t="s">
        <v>303</v>
      </c>
      <c r="L21" s="7" t="s">
        <v>304</v>
      </c>
      <c r="M21" s="7" t="s">
        <v>305</v>
      </c>
      <c r="N21" s="7" t="s">
        <v>306</v>
      </c>
    </row>
    <row r="22" customFormat="false" ht="15" hidden="false" customHeight="false" outlineLevel="0" collapsed="false">
      <c r="B22" s="8" t="s">
        <v>106</v>
      </c>
      <c r="C22" s="36" t="n">
        <f aca="false">'10_Marktdaten FPRE'!$C$8</f>
        <v>271.2</v>
      </c>
      <c r="D22" s="27" t="n">
        <v>100</v>
      </c>
      <c r="E22" s="38" t="n">
        <v>0.31</v>
      </c>
      <c r="F22" s="44" t="n">
        <f aca="false">INDEX(09_Szenarien!$C$13:$F$13,$C$5)</f>
        <v>0.25</v>
      </c>
      <c r="G22" s="44" t="n">
        <f aca="false">INDEX(09_Szenarien!$C$21:$F$21,$C$5)</f>
        <v>0.02</v>
      </c>
      <c r="H22" s="67" t="n">
        <v>0.13</v>
      </c>
      <c r="I22" s="14" t="n">
        <f aca="false">'10_Marktdaten FPRE'!$C$16</f>
        <v>0.031</v>
      </c>
      <c r="J22" s="14" t="n">
        <f aca="false">INDEX(09_Szenarien!$C$29:$F$29,$C$5)</f>
        <v>0.003</v>
      </c>
      <c r="K22" s="47" t="n">
        <f aca="false">I22+J22+$C$15</f>
        <v>0.034</v>
      </c>
      <c r="L22" s="67" t="n">
        <v>0.01</v>
      </c>
      <c r="M22" s="67" t="n">
        <v>0.35</v>
      </c>
      <c r="N22" s="70" t="n">
        <v>1.4</v>
      </c>
    </row>
    <row r="23" customFormat="false" ht="15" hidden="false" customHeight="false" outlineLevel="0" collapsed="false">
      <c r="B23" s="8" t="s">
        <v>196</v>
      </c>
      <c r="C23" s="36" t="n">
        <f aca="false">'10_Marktdaten FPRE'!$C$8</f>
        <v>271.2</v>
      </c>
      <c r="D23" s="27" t="n">
        <v>100</v>
      </c>
      <c r="E23" s="38" t="n">
        <v>0.31</v>
      </c>
      <c r="F23" s="44" t="n">
        <f aca="false">INDEX(09_Szenarien!$C$14:$F$14,$C$5)</f>
        <v>0.18</v>
      </c>
      <c r="G23" s="44" t="n">
        <f aca="false">INDEX(09_Szenarien!$C$22:$F$22,$C$5)</f>
        <v>0.03</v>
      </c>
      <c r="H23" s="67" t="n">
        <v>0.14</v>
      </c>
      <c r="I23" s="14" t="n">
        <f aca="false">'10_Marktdaten FPRE'!$C$16</f>
        <v>0.031</v>
      </c>
      <c r="J23" s="14" t="n">
        <f aca="false">INDEX(09_Szenarien!$C$30:$F$30,$C$5)</f>
        <v>0.007</v>
      </c>
      <c r="K23" s="47" t="n">
        <f aca="false">I23+J23+$C$15</f>
        <v>0.038</v>
      </c>
      <c r="L23" s="67" t="n">
        <v>0.01</v>
      </c>
      <c r="M23" s="67" t="n">
        <v>0.4</v>
      </c>
      <c r="N23" s="70" t="n">
        <v>0.6</v>
      </c>
    </row>
    <row r="24" customFormat="false" ht="15" hidden="false" customHeight="false" outlineLevel="0" collapsed="false">
      <c r="B24" s="8" t="s">
        <v>218</v>
      </c>
      <c r="C24" s="36" t="n">
        <f aca="false">'10_Marktdaten FPRE'!$C$8</f>
        <v>271.2</v>
      </c>
      <c r="D24" s="27" t="n">
        <v>100</v>
      </c>
      <c r="E24" s="38" t="n">
        <v>0.31</v>
      </c>
      <c r="F24" s="44" t="n">
        <f aca="false">INDEX(09_Szenarien!$C$15:$F$15,$C$5)</f>
        <v>0.55</v>
      </c>
      <c r="G24" s="44" t="n">
        <f aca="false">INDEX(09_Szenarien!$C$23:$F$23,$C$5)</f>
        <v>0.08</v>
      </c>
      <c r="H24" s="67" t="n">
        <v>0.22</v>
      </c>
      <c r="I24" s="14" t="n">
        <f aca="false">'10_Marktdaten FPRE'!$C$16</f>
        <v>0.031</v>
      </c>
      <c r="J24" s="14" t="n">
        <f aca="false">INDEX(09_Szenarien!$C$31:$F$31,$C$5)</f>
        <v>0.021</v>
      </c>
      <c r="K24" s="47" t="n">
        <f aca="false">I24+J24+$C$15</f>
        <v>0.052</v>
      </c>
      <c r="L24" s="67" t="n">
        <v>0.01</v>
      </c>
      <c r="M24" s="67" t="n">
        <v>0.45</v>
      </c>
      <c r="N24" s="70" t="n">
        <v>0.5</v>
      </c>
    </row>
    <row r="25" customFormat="false" ht="15" hidden="false" customHeight="false" outlineLevel="0" collapsed="false">
      <c r="B25" s="8" t="s">
        <v>130</v>
      </c>
      <c r="C25" s="36" t="n">
        <f aca="false">'10_Marktdaten FPRE'!$C$9</f>
        <v>182</v>
      </c>
      <c r="D25" s="27" t="n">
        <v>150</v>
      </c>
      <c r="E25" s="38" t="n">
        <v>0.14</v>
      </c>
      <c r="F25" s="44" t="n">
        <f aca="false">INDEX(09_Szenarien!$C$16:$F$16,$C$5)</f>
        <v>0.18</v>
      </c>
      <c r="G25" s="44" t="n">
        <f aca="false">INDEX(09_Szenarien!$C$24:$F$24,$C$5)</f>
        <v>0.06</v>
      </c>
      <c r="H25" s="67" t="n">
        <v>0.09</v>
      </c>
      <c r="I25" s="14" t="n">
        <f aca="false">'10_Marktdaten FPRE'!$C$17</f>
        <v>0.044</v>
      </c>
      <c r="J25" s="14" t="n">
        <f aca="false">INDEX(09_Szenarien!$C$32:$F$32,$C$5)</f>
        <v>0.007</v>
      </c>
      <c r="K25" s="47" t="n">
        <f aca="false">I25+J25+$C$15</f>
        <v>0.051</v>
      </c>
      <c r="L25" s="67" t="n">
        <v>0.003</v>
      </c>
      <c r="M25" s="67" t="n">
        <v>0.45</v>
      </c>
      <c r="N25" s="70" t="n">
        <v>2.5</v>
      </c>
    </row>
    <row r="26" customFormat="false" ht="15" hidden="false" customHeight="false" outlineLevel="0" collapsed="false">
      <c r="B26" s="8" t="s">
        <v>107</v>
      </c>
      <c r="C26" s="36" t="n">
        <f aca="false">$C$13*'10_Marktdaten FPRE'!$C$11+(1-$C$13)*'10_Marktdaten FPRE'!$C$10</f>
        <v>172.35</v>
      </c>
      <c r="D26" s="27" t="n">
        <v>150</v>
      </c>
      <c r="E26" s="38" t="n">
        <v>0.14</v>
      </c>
      <c r="F26" s="44" t="n">
        <f aca="false">INDEX(09_Szenarien!$C$17:$F$17,$C$5)</f>
        <v>0.15</v>
      </c>
      <c r="G26" s="44" t="n">
        <f aca="false">INDEX(09_Szenarien!$C$25:$F$25,$C$5)</f>
        <v>0.05</v>
      </c>
      <c r="H26" s="67" t="n">
        <v>0.08</v>
      </c>
      <c r="I26" s="14" t="n">
        <f aca="false">'10_Marktdaten FPRE'!$C$19</f>
        <v>0.051</v>
      </c>
      <c r="J26" s="14" t="n">
        <f aca="false">INDEX(09_Szenarien!$C$33:$F$33,$C$5)</f>
        <v>0.005</v>
      </c>
      <c r="K26" s="47" t="n">
        <f aca="false">I26+J26+$C$15</f>
        <v>0.056</v>
      </c>
      <c r="L26" s="67" t="n">
        <v>0.005</v>
      </c>
      <c r="M26" s="67" t="n">
        <v>0.4</v>
      </c>
      <c r="N26" s="70" t="n">
        <v>2</v>
      </c>
    </row>
    <row r="27" customFormat="false" ht="15" hidden="false" customHeight="false" outlineLevel="0" collapsed="false">
      <c r="B27" s="8" t="s">
        <v>180</v>
      </c>
      <c r="C27" s="71" t="s">
        <v>307</v>
      </c>
      <c r="D27" s="71" t="s">
        <v>307</v>
      </c>
      <c r="E27" s="71" t="s">
        <v>307</v>
      </c>
      <c r="F27" s="44" t="n">
        <f aca="false">INDEX(09_Szenarien!$C$18:$F$18,$C$5)</f>
        <v>0</v>
      </c>
      <c r="G27" s="44" t="n">
        <f aca="false">INDEX(09_Szenarien!$C$26:$F$26,$C$5)</f>
        <v>0.05</v>
      </c>
      <c r="H27" s="67" t="n">
        <v>0.08</v>
      </c>
      <c r="I27" s="68" t="n">
        <v>0</v>
      </c>
      <c r="J27" s="14" t="n">
        <f aca="false">INDEX(09_Szenarien!$C$34:$F$34,$C$5)</f>
        <v>0.045</v>
      </c>
      <c r="K27" s="47" t="n">
        <f aca="false">I27+J27+$C$15</f>
        <v>0.045</v>
      </c>
      <c r="L27" s="67" t="n">
        <v>0.01</v>
      </c>
      <c r="M27" s="67" t="n">
        <v>0.4</v>
      </c>
      <c r="N27" s="71" t="s">
        <v>307</v>
      </c>
    </row>
    <row r="28" customFormat="false" ht="15" hidden="false" customHeight="false" outlineLevel="0" collapsed="false">
      <c r="B28" s="30" t="s">
        <v>197</v>
      </c>
      <c r="C28" s="35" t="n">
        <f aca="false">IF($C$50=0,0,$C$49/$C$50/(1+$C$9))</f>
        <v>544.9371114387</v>
      </c>
      <c r="D28" s="27" t="n">
        <v>100</v>
      </c>
      <c r="E28" s="38" t="n">
        <v>0</v>
      </c>
      <c r="F28" s="67" t="n">
        <v>0</v>
      </c>
      <c r="G28" s="60" t="n">
        <v>0.1</v>
      </c>
      <c r="H28" s="60" t="n">
        <v>0.35</v>
      </c>
      <c r="I28" s="14" t="n">
        <f aca="false">'10_Marktdaten FPRE'!$C$19</f>
        <v>0.051</v>
      </c>
      <c r="J28" s="72" t="n">
        <v>0.015</v>
      </c>
      <c r="K28" s="47" t="n">
        <f aca="false">I28+J28+$C$15</f>
        <v>0.066</v>
      </c>
      <c r="L28" s="67" t="n">
        <v>0.005</v>
      </c>
      <c r="M28" s="67" t="n">
        <v>0.5</v>
      </c>
      <c r="N28" s="71" t="s">
        <v>307</v>
      </c>
    </row>
    <row r="29" customFormat="false" ht="15" hidden="false" customHeight="false" outlineLevel="0" collapsed="false">
      <c r="B29" s="30" t="s">
        <v>198</v>
      </c>
      <c r="C29" s="71" t="s">
        <v>307</v>
      </c>
      <c r="D29" s="71" t="s">
        <v>307</v>
      </c>
      <c r="E29" s="71" t="s">
        <v>307</v>
      </c>
      <c r="F29" s="67" t="n">
        <v>0</v>
      </c>
      <c r="G29" s="60" t="n">
        <v>0.05</v>
      </c>
      <c r="H29" s="60" t="n">
        <v>0.18</v>
      </c>
      <c r="I29" s="68" t="n">
        <v>0</v>
      </c>
      <c r="J29" s="72" t="n">
        <v>0.05</v>
      </c>
      <c r="K29" s="47" t="n">
        <f aca="false">I29+J29+$C$15</f>
        <v>0.05</v>
      </c>
      <c r="L29" s="67" t="n">
        <v>0.01</v>
      </c>
      <c r="M29" s="67" t="n">
        <v>0.4</v>
      </c>
      <c r="N29" s="71" t="s">
        <v>307</v>
      </c>
    </row>
    <row r="31" customFormat="false" ht="15" hidden="false" customHeight="false" outlineLevel="0" collapsed="false">
      <c r="B31" s="4" t="s">
        <v>308</v>
      </c>
    </row>
    <row r="32" customFormat="false" ht="15" hidden="false" customHeight="false" outlineLevel="0" collapsed="false">
      <c r="B32" s="4" t="s">
        <v>309</v>
      </c>
    </row>
    <row r="33" customFormat="false" ht="15" hidden="false" customHeight="false" outlineLevel="0" collapsed="false">
      <c r="B33" s="4" t="s">
        <v>310</v>
      </c>
    </row>
    <row r="34" customFormat="false" ht="15" hidden="false" customHeight="false" outlineLevel="0" collapsed="false">
      <c r="B34" s="4" t="s">
        <v>311</v>
      </c>
    </row>
    <row r="35" customFormat="false" ht="15" hidden="false" customHeight="false" outlineLevel="0" collapsed="false">
      <c r="B35" s="4" t="s">
        <v>312</v>
      </c>
    </row>
    <row r="36" customFormat="false" ht="15" hidden="false" customHeight="false" outlineLevel="0" collapsed="false">
      <c r="B36" s="4" t="s">
        <v>313</v>
      </c>
    </row>
    <row r="40" customFormat="false" ht="15" hidden="false" customHeight="false" outlineLevel="0" collapsed="false">
      <c r="B40" s="5" t="s">
        <v>314</v>
      </c>
    </row>
    <row r="41" customFormat="false" ht="19.5" hidden="false" customHeight="true" outlineLevel="0" collapsed="false">
      <c r="B41" s="6" t="s">
        <v>278</v>
      </c>
      <c r="C41" s="7" t="s">
        <v>6</v>
      </c>
      <c r="D41" s="6" t="s">
        <v>7</v>
      </c>
      <c r="E41" s="7" t="s">
        <v>315</v>
      </c>
    </row>
    <row r="43" customFormat="false" ht="15" hidden="false" customHeight="false" outlineLevel="0" collapsed="false">
      <c r="B43" s="8" t="s">
        <v>316</v>
      </c>
      <c r="C43" s="73" t="n">
        <v>120</v>
      </c>
      <c r="D43" s="8" t="s">
        <v>202</v>
      </c>
      <c r="E43" s="10" t="s">
        <v>317</v>
      </c>
    </row>
    <row r="44" customFormat="false" ht="15" hidden="false" customHeight="false" outlineLevel="0" collapsed="false">
      <c r="B44" s="8" t="s">
        <v>318</v>
      </c>
      <c r="C44" s="73" t="n">
        <v>3500</v>
      </c>
      <c r="D44" s="8" t="s">
        <v>18</v>
      </c>
      <c r="E44" s="10" t="s">
        <v>319</v>
      </c>
    </row>
    <row r="45" customFormat="false" ht="15" hidden="false" customHeight="false" outlineLevel="0" collapsed="false">
      <c r="B45" s="8" t="s">
        <v>320</v>
      </c>
      <c r="C45" s="73" t="n">
        <v>80</v>
      </c>
      <c r="D45" s="8" t="s">
        <v>205</v>
      </c>
      <c r="E45" s="10" t="s">
        <v>321</v>
      </c>
    </row>
    <row r="46" customFormat="false" ht="15" hidden="false" customHeight="false" outlineLevel="0" collapsed="false">
      <c r="B46" s="8" t="s">
        <v>322</v>
      </c>
      <c r="C46" s="73" t="n">
        <v>2000</v>
      </c>
      <c r="D46" s="8" t="s">
        <v>18</v>
      </c>
      <c r="E46" s="10" t="s">
        <v>323</v>
      </c>
    </row>
    <row r="47" customFormat="false" ht="15" hidden="false" customHeight="false" outlineLevel="0" collapsed="false">
      <c r="B47" s="8" t="s">
        <v>324</v>
      </c>
      <c r="C47" s="28" t="n">
        <f aca="false">C43*C44</f>
        <v>420000</v>
      </c>
      <c r="D47" s="8" t="s">
        <v>208</v>
      </c>
      <c r="E47" s="10"/>
    </row>
    <row r="48" customFormat="false" ht="15" hidden="false" customHeight="false" outlineLevel="0" collapsed="false">
      <c r="B48" s="8" t="s">
        <v>325</v>
      </c>
      <c r="C48" s="28" t="n">
        <f aca="false">C45*C46</f>
        <v>160000</v>
      </c>
      <c r="D48" s="8" t="s">
        <v>208</v>
      </c>
      <c r="E48" s="10"/>
    </row>
    <row r="49" customFormat="false" ht="15" hidden="false" customHeight="false" outlineLevel="0" collapsed="false">
      <c r="B49" s="12" t="s">
        <v>326</v>
      </c>
      <c r="C49" s="62" t="n">
        <f aca="false">C47+C48</f>
        <v>580000</v>
      </c>
      <c r="D49" s="8" t="s">
        <v>208</v>
      </c>
      <c r="E49" s="10" t="s">
        <v>327</v>
      </c>
    </row>
    <row r="50" customFormat="false" ht="15" hidden="false" customHeight="false" outlineLevel="0" collapsed="false">
      <c r="B50" s="8" t="s">
        <v>328</v>
      </c>
      <c r="C50" s="11" t="n">
        <f aca="false">SUMIFS('11_Flächen &amp; Mieten'!$I$7:$I$400,'11_Flächen &amp; Mieten'!$H$7:$H$400,"Saal")</f>
        <v>1013.66</v>
      </c>
      <c r="D50" s="8" t="s">
        <v>12</v>
      </c>
      <c r="E50" s="10"/>
    </row>
    <row r="51" customFormat="false" ht="15" hidden="false" customHeight="false" outlineLevel="0" collapsed="false">
      <c r="B51" s="8" t="s">
        <v>329</v>
      </c>
      <c r="C51" s="28" t="n">
        <f aca="false">IF(C50=0,0,C49/C50)</f>
        <v>572.183967010635</v>
      </c>
      <c r="D51" s="8" t="s">
        <v>330</v>
      </c>
      <c r="E51" s="10" t="s">
        <v>331</v>
      </c>
    </row>
    <row r="53" customFormat="false" ht="15" hidden="false" customHeight="false" outlineLevel="0" collapsed="false">
      <c r="B53" s="5" t="s">
        <v>332</v>
      </c>
    </row>
    <row r="54" customFormat="false" ht="19.5" hidden="false" customHeight="true" outlineLevel="0" collapsed="false">
      <c r="B54" s="6" t="s">
        <v>278</v>
      </c>
      <c r="C54" s="7" t="s">
        <v>6</v>
      </c>
      <c r="D54" s="6" t="s">
        <v>7</v>
      </c>
      <c r="E54" s="7" t="s">
        <v>315</v>
      </c>
    </row>
    <row r="55" customFormat="false" ht="15" hidden="false" customHeight="false" outlineLevel="0" collapsed="false">
      <c r="B55" s="8" t="s">
        <v>333</v>
      </c>
      <c r="C55" s="11" t="n">
        <f aca="false">01_Kennwerte!Q9</f>
        <v>101</v>
      </c>
      <c r="D55" s="8" t="s">
        <v>164</v>
      </c>
      <c r="E55" s="10" t="s">
        <v>334</v>
      </c>
    </row>
    <row r="56" customFormat="false" ht="15" hidden="false" customHeight="false" outlineLevel="0" collapsed="false">
      <c r="B56" s="8" t="s">
        <v>335</v>
      </c>
      <c r="C56" s="73" t="n">
        <v>90</v>
      </c>
      <c r="D56" s="8" t="s">
        <v>164</v>
      </c>
      <c r="E56" s="10" t="s">
        <v>336</v>
      </c>
    </row>
    <row r="57" customFormat="false" ht="15" hidden="false" customHeight="false" outlineLevel="0" collapsed="false">
      <c r="B57" s="8" t="s">
        <v>210</v>
      </c>
      <c r="C57" s="73" t="n">
        <v>12</v>
      </c>
      <c r="D57" s="8" t="s">
        <v>211</v>
      </c>
      <c r="E57" s="10" t="s">
        <v>337</v>
      </c>
    </row>
    <row r="58" customFormat="false" ht="15" hidden="false" customHeight="false" outlineLevel="0" collapsed="false">
      <c r="B58" s="8" t="s">
        <v>338</v>
      </c>
      <c r="C58" s="73" t="n">
        <v>230</v>
      </c>
      <c r="D58" s="8" t="s">
        <v>205</v>
      </c>
      <c r="E58" s="10"/>
    </row>
    <row r="59" customFormat="false" ht="15" hidden="false" customHeight="false" outlineLevel="0" collapsed="false">
      <c r="B59" s="8" t="s">
        <v>339</v>
      </c>
      <c r="C59" s="60" t="n">
        <v>0.95</v>
      </c>
      <c r="D59" s="8" t="s">
        <v>172</v>
      </c>
      <c r="E59" s="10"/>
    </row>
    <row r="60" customFormat="false" ht="15" hidden="false" customHeight="false" outlineLevel="0" collapsed="false">
      <c r="B60" s="8" t="s">
        <v>340</v>
      </c>
      <c r="C60" s="28" t="n">
        <f aca="false">C56*C57*C58*C59</f>
        <v>235980</v>
      </c>
      <c r="D60" s="8" t="s">
        <v>208</v>
      </c>
      <c r="E60" s="10"/>
    </row>
    <row r="61" customFormat="false" ht="15" hidden="false" customHeight="false" outlineLevel="0" collapsed="false">
      <c r="B61" s="8" t="s">
        <v>341</v>
      </c>
      <c r="C61" s="28" t="n">
        <f aca="false">C43</f>
        <v>120</v>
      </c>
      <c r="D61" s="8" t="s">
        <v>202</v>
      </c>
      <c r="E61" s="10" t="s">
        <v>342</v>
      </c>
    </row>
    <row r="62" customFormat="false" ht="15" hidden="false" customHeight="false" outlineLevel="0" collapsed="false">
      <c r="B62" s="8" t="s">
        <v>343</v>
      </c>
      <c r="C62" s="73" t="n">
        <v>100</v>
      </c>
      <c r="D62" s="8" t="s">
        <v>164</v>
      </c>
      <c r="E62" s="10" t="s">
        <v>344</v>
      </c>
    </row>
    <row r="63" customFormat="false" ht="15" hidden="false" customHeight="false" outlineLevel="0" collapsed="false">
      <c r="B63" s="8" t="s">
        <v>345</v>
      </c>
      <c r="C63" s="73" t="n">
        <v>10</v>
      </c>
      <c r="D63" s="8" t="s">
        <v>18</v>
      </c>
      <c r="E63" s="10" t="s">
        <v>346</v>
      </c>
    </row>
    <row r="64" customFormat="false" ht="15" hidden="false" customHeight="false" outlineLevel="0" collapsed="false">
      <c r="B64" s="8" t="s">
        <v>324</v>
      </c>
      <c r="C64" s="28" t="n">
        <f aca="false">C61*C62*C63</f>
        <v>120000</v>
      </c>
      <c r="D64" s="8" t="s">
        <v>208</v>
      </c>
      <c r="E64" s="10"/>
    </row>
    <row r="65" customFormat="false" ht="15" hidden="false" customHeight="false" outlineLevel="0" collapsed="false">
      <c r="B65" s="8" t="s">
        <v>347</v>
      </c>
      <c r="C65" s="28" t="n">
        <f aca="false">C55-C56</f>
        <v>11</v>
      </c>
      <c r="D65" s="8" t="s">
        <v>164</v>
      </c>
      <c r="E65" s="10"/>
    </row>
    <row r="66" customFormat="false" ht="15" hidden="false" customHeight="false" outlineLevel="0" collapsed="false">
      <c r="B66" s="8" t="s">
        <v>348</v>
      </c>
      <c r="C66" s="73" t="n">
        <v>8</v>
      </c>
      <c r="D66" s="8" t="s">
        <v>349</v>
      </c>
      <c r="E66" s="10"/>
    </row>
    <row r="67" customFormat="false" ht="15" hidden="false" customHeight="false" outlineLevel="0" collapsed="false">
      <c r="B67" s="8" t="s">
        <v>350</v>
      </c>
      <c r="C67" s="73" t="n">
        <v>300</v>
      </c>
      <c r="D67" s="8" t="s">
        <v>205</v>
      </c>
      <c r="E67" s="10"/>
    </row>
    <row r="68" customFormat="false" ht="15" hidden="false" customHeight="false" outlineLevel="0" collapsed="false">
      <c r="B68" s="8" t="s">
        <v>351</v>
      </c>
      <c r="C68" s="60" t="n">
        <v>0.45</v>
      </c>
      <c r="D68" s="8" t="s">
        <v>172</v>
      </c>
      <c r="E68" s="10"/>
    </row>
    <row r="69" customFormat="false" ht="15" hidden="false" customHeight="false" outlineLevel="0" collapsed="false">
      <c r="B69" s="8" t="s">
        <v>352</v>
      </c>
      <c r="C69" s="74" t="n">
        <v>2.5</v>
      </c>
      <c r="D69" s="8" t="s">
        <v>353</v>
      </c>
      <c r="E69" s="10" t="s">
        <v>337</v>
      </c>
    </row>
    <row r="70" customFormat="false" ht="15" hidden="false" customHeight="false" outlineLevel="0" collapsed="false">
      <c r="B70" s="8" t="s">
        <v>214</v>
      </c>
      <c r="C70" s="28" t="n">
        <f aca="false">C65*C66*C67*C68*C69</f>
        <v>29700</v>
      </c>
      <c r="D70" s="8" t="s">
        <v>208</v>
      </c>
      <c r="E70" s="10"/>
    </row>
    <row r="71" customFormat="false" ht="15" hidden="false" customHeight="false" outlineLevel="0" collapsed="false">
      <c r="B71" s="12" t="s">
        <v>354</v>
      </c>
      <c r="C71" s="62" t="n">
        <f aca="false">C60+C64+C70</f>
        <v>385680</v>
      </c>
      <c r="D71" s="8" t="s">
        <v>208</v>
      </c>
      <c r="E71" s="10" t="s">
        <v>355</v>
      </c>
    </row>
    <row r="72" customFormat="false" ht="15" hidden="false" customHeight="false" outlineLevel="0" collapsed="false">
      <c r="B72" s="8" t="s">
        <v>356</v>
      </c>
      <c r="C72" s="28" t="n">
        <f aca="false">IF(C55=0,0,C71/C55/12)</f>
        <v>318.217821782178</v>
      </c>
      <c r="D72" s="8" t="s">
        <v>18</v>
      </c>
      <c r="E72" s="10" t="s">
        <v>357</v>
      </c>
    </row>
    <row r="75" customFormat="false" ht="15" hidden="false" customHeight="false" outlineLevel="0" collapsed="false">
      <c r="B75" s="5" t="s">
        <v>358</v>
      </c>
    </row>
    <row r="76" customFormat="false" ht="19.5" hidden="false" customHeight="true" outlineLevel="0" collapsed="false">
      <c r="B76" s="6" t="s">
        <v>51</v>
      </c>
      <c r="C76" s="7" t="s">
        <v>359</v>
      </c>
      <c r="D76" s="7"/>
      <c r="E76" s="6" t="s">
        <v>360</v>
      </c>
    </row>
    <row r="77" customFormat="false" ht="15" hidden="false" customHeight="false" outlineLevel="0" collapsed="false">
      <c r="B77" s="12" t="s">
        <v>361</v>
      </c>
      <c r="C77" s="73" t="n">
        <v>500</v>
      </c>
      <c r="E77" s="10" t="s">
        <v>362</v>
      </c>
    </row>
    <row r="78" customFormat="false" ht="15" hidden="false" customHeight="false" outlineLevel="0" collapsed="false">
      <c r="B78" s="8" t="s">
        <v>363</v>
      </c>
      <c r="C78" s="11" t="n">
        <f aca="false">16_Residualwert!E7*1000000/16_Residualwert!F7</f>
        <v>700.636942675159</v>
      </c>
      <c r="E78" s="10" t="s">
        <v>364</v>
      </c>
    </row>
    <row r="79" customFormat="false" ht="15" hidden="false" customHeight="false" outlineLevel="0" collapsed="false">
      <c r="B79" s="8" t="s">
        <v>365</v>
      </c>
      <c r="C79" s="11" t="n">
        <f aca="false">16_Residualwert!E8*1000000/16_Residualwert!F8</f>
        <v>600</v>
      </c>
      <c r="E79" s="10" t="s">
        <v>366</v>
      </c>
    </row>
    <row r="80" customFormat="false" ht="15" hidden="false" customHeight="false" outlineLevel="0" collapsed="false">
      <c r="B80" s="8" t="s">
        <v>367</v>
      </c>
      <c r="C80" s="11" t="n">
        <f aca="false">16_Residualwert!E10*1000000/16_Residualwert!F10</f>
        <v>833.333333333333</v>
      </c>
      <c r="E80" s="10" t="s">
        <v>368</v>
      </c>
    </row>
    <row r="81" customFormat="false" ht="15" hidden="false" customHeight="false" outlineLevel="0" collapsed="false">
      <c r="B81" s="8" t="s">
        <v>369</v>
      </c>
      <c r="C81" s="11" t="n">
        <f aca="false">16_Residualwert!E9*1000000/(01_Kennwerte!O10+01_Kennwerte!O11)</f>
        <v>570.241538022891</v>
      </c>
      <c r="E81" s="10" t="s">
        <v>370</v>
      </c>
    </row>
    <row r="82" customFormat="false" ht="15" hidden="false" customHeight="false" outlineLevel="0" collapsed="false">
      <c r="B82" s="8" t="s">
        <v>371</v>
      </c>
      <c r="C82" s="73" t="n">
        <v>700</v>
      </c>
      <c r="E82" s="10" t="s">
        <v>372</v>
      </c>
    </row>
    <row r="84" customFormat="false" ht="15" hidden="false" customHeight="false" outlineLevel="0" collapsed="false">
      <c r="B84" s="4" t="s">
        <v>373</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F5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52"/>
    <col collapsed="false" customWidth="true" hidden="false" outlineLevel="0" max="7" min="3" style="0" width="14"/>
    <col collapsed="false" customWidth="true" hidden="false" outlineLevel="0" max="8" min="8" style="0" width="10"/>
  </cols>
  <sheetData>
    <row r="2" customFormat="false" ht="19.7" hidden="false" customHeight="false" outlineLevel="0" collapsed="false">
      <c r="B2" s="26" t="s">
        <v>374</v>
      </c>
    </row>
    <row r="3" customFormat="false" ht="15" hidden="false" customHeight="false" outlineLevel="0" collapsed="false">
      <c r="B3" s="4" t="s">
        <v>375</v>
      </c>
    </row>
    <row r="4" customFormat="false" ht="15" hidden="false" customHeight="false" outlineLevel="0" collapsed="false">
      <c r="B4" s="75" t="s">
        <v>376</v>
      </c>
      <c r="C4" s="76" t="n">
        <v>1</v>
      </c>
      <c r="D4" s="76" t="n">
        <v>2</v>
      </c>
      <c r="E4" s="76" t="n">
        <v>3</v>
      </c>
      <c r="F4" s="76" t="n">
        <v>4</v>
      </c>
    </row>
    <row r="5" customFormat="false" ht="15" hidden="false" customHeight="false" outlineLevel="0" collapsed="false">
      <c r="B5" s="75" t="s">
        <v>278</v>
      </c>
      <c r="C5" s="75" t="s">
        <v>377</v>
      </c>
      <c r="D5" s="75" t="s">
        <v>378</v>
      </c>
      <c r="E5" s="75" t="s">
        <v>379</v>
      </c>
      <c r="F5" s="75" t="s">
        <v>380</v>
      </c>
    </row>
    <row r="6" customFormat="false" ht="15" hidden="false" customHeight="false" outlineLevel="0" collapsed="false">
      <c r="B6" s="77" t="s">
        <v>381</v>
      </c>
      <c r="C6" s="77" t="s">
        <v>377</v>
      </c>
      <c r="D6" s="77" t="s">
        <v>378</v>
      </c>
      <c r="E6" s="77" t="s">
        <v>379</v>
      </c>
      <c r="F6" s="77" t="s">
        <v>380</v>
      </c>
    </row>
    <row r="7" customFormat="false" ht="15" hidden="false" customHeight="false" outlineLevel="0" collapsed="false">
      <c r="B7" s="5" t="s">
        <v>382</v>
      </c>
    </row>
    <row r="8" customFormat="false" ht="15" hidden="false" customHeight="false" outlineLevel="0" collapsed="false">
      <c r="B8" s="77" t="s">
        <v>383</v>
      </c>
      <c r="C8" s="78" t="n">
        <v>0</v>
      </c>
      <c r="D8" s="79" t="n">
        <v>0.05</v>
      </c>
      <c r="E8" s="79" t="n">
        <v>0.08</v>
      </c>
      <c r="F8" s="79" t="n">
        <v>0.05</v>
      </c>
    </row>
    <row r="9" customFormat="false" ht="15" hidden="false" customHeight="false" outlineLevel="0" collapsed="false">
      <c r="B9" s="77" t="s">
        <v>384</v>
      </c>
      <c r="C9" s="78" t="n">
        <v>170</v>
      </c>
      <c r="D9" s="78" t="n">
        <v>200</v>
      </c>
      <c r="E9" s="78" t="n">
        <v>230</v>
      </c>
      <c r="F9" s="78" t="n">
        <v>200</v>
      </c>
    </row>
    <row r="10" customFormat="false" ht="15" hidden="false" customHeight="false" outlineLevel="0" collapsed="false">
      <c r="B10" s="77" t="s">
        <v>385</v>
      </c>
      <c r="C10" s="78" t="n">
        <v>140</v>
      </c>
      <c r="D10" s="78" t="n">
        <v>165</v>
      </c>
      <c r="E10" s="78" t="n">
        <v>185</v>
      </c>
      <c r="F10" s="78" t="n">
        <v>165</v>
      </c>
    </row>
    <row r="12" customFormat="false" ht="15" hidden="false" customHeight="false" outlineLevel="0" collapsed="false">
      <c r="B12" s="77" t="s">
        <v>386</v>
      </c>
    </row>
    <row r="13" customFormat="false" ht="15" hidden="false" customHeight="false" outlineLevel="0" collapsed="false">
      <c r="B13" s="77" t="s">
        <v>387</v>
      </c>
      <c r="C13" s="79" t="n">
        <v>0.12</v>
      </c>
      <c r="D13" s="79" t="n">
        <v>0.25</v>
      </c>
      <c r="E13" s="79" t="n">
        <v>0.35</v>
      </c>
      <c r="F13" s="79" t="n">
        <v>0.25</v>
      </c>
    </row>
    <row r="14" customFormat="false" ht="15" hidden="false" customHeight="false" outlineLevel="0" collapsed="false">
      <c r="B14" s="77" t="s">
        <v>388</v>
      </c>
      <c r="C14" s="79" t="n">
        <v>0.08</v>
      </c>
      <c r="D14" s="79" t="n">
        <v>0.18</v>
      </c>
      <c r="E14" s="79" t="n">
        <v>0.25</v>
      </c>
      <c r="F14" s="79" t="n">
        <v>0.18</v>
      </c>
    </row>
    <row r="15" customFormat="false" ht="15" hidden="false" customHeight="false" outlineLevel="0" collapsed="false">
      <c r="B15" s="77" t="s">
        <v>389</v>
      </c>
      <c r="C15" s="79" t="n">
        <v>0.35</v>
      </c>
      <c r="D15" s="79" t="n">
        <v>0.55</v>
      </c>
      <c r="E15" s="79" t="n">
        <v>0.7</v>
      </c>
      <c r="F15" s="79" t="n">
        <v>0.55</v>
      </c>
    </row>
    <row r="16" customFormat="false" ht="15" hidden="false" customHeight="false" outlineLevel="0" collapsed="false">
      <c r="B16" s="77" t="s">
        <v>390</v>
      </c>
      <c r="C16" s="79" t="n">
        <v>0.05</v>
      </c>
      <c r="D16" s="79" t="n">
        <v>0.18</v>
      </c>
      <c r="E16" s="79" t="n">
        <v>0.3</v>
      </c>
      <c r="F16" s="79" t="n">
        <v>0.18</v>
      </c>
    </row>
    <row r="17" customFormat="false" ht="15" hidden="false" customHeight="false" outlineLevel="0" collapsed="false">
      <c r="B17" s="77" t="s">
        <v>391</v>
      </c>
      <c r="C17" s="79" t="n">
        <v>0.05</v>
      </c>
      <c r="D17" s="79" t="n">
        <v>0.15</v>
      </c>
      <c r="E17" s="79" t="n">
        <v>0.25</v>
      </c>
      <c r="F17" s="79" t="n">
        <v>0.15</v>
      </c>
    </row>
    <row r="18" customFormat="false" ht="15" hidden="false" customHeight="false" outlineLevel="0" collapsed="false">
      <c r="B18" s="77" t="s">
        <v>392</v>
      </c>
      <c r="C18" s="78" t="n">
        <v>0</v>
      </c>
      <c r="D18" s="78" t="n">
        <v>0</v>
      </c>
      <c r="E18" s="78" t="n">
        <v>0</v>
      </c>
      <c r="F18" s="78" t="n">
        <v>0</v>
      </c>
    </row>
    <row r="20" customFormat="false" ht="15" hidden="false" customHeight="false" outlineLevel="0" collapsed="false">
      <c r="B20" s="77" t="s">
        <v>393</v>
      </c>
    </row>
    <row r="21" customFormat="false" ht="15" hidden="false" customHeight="false" outlineLevel="0" collapsed="false">
      <c r="B21" s="77" t="s">
        <v>387</v>
      </c>
      <c r="C21" s="79" t="n">
        <v>0.035</v>
      </c>
      <c r="D21" s="79" t="n">
        <v>0.02</v>
      </c>
      <c r="E21" s="79" t="n">
        <v>0.015</v>
      </c>
      <c r="F21" s="79" t="n">
        <v>0.02</v>
      </c>
    </row>
    <row r="22" customFormat="false" ht="15" hidden="false" customHeight="false" outlineLevel="0" collapsed="false">
      <c r="B22" s="77" t="s">
        <v>388</v>
      </c>
      <c r="C22" s="79" t="n">
        <v>0.045</v>
      </c>
      <c r="D22" s="79" t="n">
        <v>0.03</v>
      </c>
      <c r="E22" s="79" t="n">
        <v>0.02</v>
      </c>
      <c r="F22" s="79" t="n">
        <v>0.03</v>
      </c>
    </row>
    <row r="23" customFormat="false" ht="15" hidden="false" customHeight="false" outlineLevel="0" collapsed="false">
      <c r="B23" s="77" t="s">
        <v>389</v>
      </c>
      <c r="C23" s="79" t="n">
        <v>0.12</v>
      </c>
      <c r="D23" s="79" t="n">
        <v>0.08</v>
      </c>
      <c r="E23" s="79" t="n">
        <v>0.06</v>
      </c>
      <c r="F23" s="79" t="n">
        <v>0.08</v>
      </c>
    </row>
    <row r="24" customFormat="false" ht="15" hidden="false" customHeight="false" outlineLevel="0" collapsed="false">
      <c r="B24" s="77" t="s">
        <v>390</v>
      </c>
      <c r="C24" s="79" t="n">
        <v>0.09</v>
      </c>
      <c r="D24" s="79" t="n">
        <v>0.06</v>
      </c>
      <c r="E24" s="79" t="n">
        <v>0.045</v>
      </c>
      <c r="F24" s="79" t="n">
        <v>0.06</v>
      </c>
    </row>
    <row r="25" customFormat="false" ht="15" hidden="false" customHeight="false" outlineLevel="0" collapsed="false">
      <c r="B25" s="77" t="s">
        <v>391</v>
      </c>
      <c r="C25" s="79" t="n">
        <v>0.075</v>
      </c>
      <c r="D25" s="79" t="n">
        <v>0.05</v>
      </c>
      <c r="E25" s="79" t="n">
        <v>0.035</v>
      </c>
      <c r="F25" s="79" t="n">
        <v>0.05</v>
      </c>
    </row>
    <row r="26" customFormat="false" ht="15" hidden="false" customHeight="false" outlineLevel="0" collapsed="false">
      <c r="B26" s="77" t="s">
        <v>392</v>
      </c>
      <c r="C26" s="79" t="n">
        <v>0.07</v>
      </c>
      <c r="D26" s="79" t="n">
        <v>0.05</v>
      </c>
      <c r="E26" s="79" t="n">
        <v>0.04</v>
      </c>
      <c r="F26" s="79" t="n">
        <v>0.05</v>
      </c>
    </row>
    <row r="28" customFormat="false" ht="15" hidden="false" customHeight="false" outlineLevel="0" collapsed="false">
      <c r="B28" s="77" t="s">
        <v>394</v>
      </c>
    </row>
    <row r="29" customFormat="false" ht="15" hidden="false" customHeight="false" outlineLevel="0" collapsed="false">
      <c r="B29" s="77" t="s">
        <v>387</v>
      </c>
      <c r="C29" s="79" t="n">
        <v>0.0065</v>
      </c>
      <c r="D29" s="79" t="n">
        <v>0.003</v>
      </c>
      <c r="E29" s="79" t="n">
        <v>0.0005</v>
      </c>
      <c r="F29" s="79" t="n">
        <v>0.003</v>
      </c>
    </row>
    <row r="30" customFormat="false" ht="15" hidden="false" customHeight="false" outlineLevel="0" collapsed="false">
      <c r="B30" s="77" t="s">
        <v>388</v>
      </c>
      <c r="C30" s="79" t="n">
        <v>0.011</v>
      </c>
      <c r="D30" s="79" t="n">
        <v>0.007</v>
      </c>
      <c r="E30" s="79" t="n">
        <v>0.004</v>
      </c>
      <c r="F30" s="79" t="n">
        <v>0.007</v>
      </c>
    </row>
    <row r="31" customFormat="false" ht="15" hidden="false" customHeight="false" outlineLevel="0" collapsed="false">
      <c r="B31" s="77" t="s">
        <v>389</v>
      </c>
      <c r="C31" s="79" t="n">
        <v>0.0265</v>
      </c>
      <c r="D31" s="79" t="n">
        <v>0.021</v>
      </c>
      <c r="E31" s="79" t="n">
        <v>0.0175</v>
      </c>
      <c r="F31" s="79" t="n">
        <v>0.021</v>
      </c>
    </row>
    <row r="32" customFormat="false" ht="15" hidden="false" customHeight="false" outlineLevel="0" collapsed="false">
      <c r="B32" s="77" t="s">
        <v>390</v>
      </c>
      <c r="C32" s="79" t="n">
        <v>0.0125</v>
      </c>
      <c r="D32" s="79" t="n">
        <v>0.007</v>
      </c>
      <c r="E32" s="79" t="n">
        <v>0.0035</v>
      </c>
      <c r="F32" s="79" t="n">
        <v>0.007</v>
      </c>
    </row>
    <row r="33" customFormat="false" ht="15" hidden="false" customHeight="false" outlineLevel="0" collapsed="false">
      <c r="B33" s="77" t="s">
        <v>391</v>
      </c>
      <c r="C33" s="79" t="n">
        <v>0.01</v>
      </c>
      <c r="D33" s="79" t="n">
        <v>0.005</v>
      </c>
      <c r="E33" s="79" t="n">
        <v>0.0015</v>
      </c>
      <c r="F33" s="79" t="n">
        <v>0.005</v>
      </c>
    </row>
    <row r="34" customFormat="false" ht="15" hidden="false" customHeight="false" outlineLevel="0" collapsed="false">
      <c r="B34" s="77" t="s">
        <v>392</v>
      </c>
      <c r="C34" s="79" t="n">
        <v>0.049</v>
      </c>
      <c r="D34" s="79" t="n">
        <v>0.045</v>
      </c>
      <c r="E34" s="79" t="n">
        <v>0.042</v>
      </c>
      <c r="F34" s="79" t="n">
        <v>0.045</v>
      </c>
    </row>
    <row r="37" customFormat="false" ht="15" hidden="false" customHeight="false" outlineLevel="0" collapsed="false">
      <c r="B37" s="4" t="s">
        <v>395</v>
      </c>
    </row>
    <row r="41" customFormat="false" ht="15" hidden="false" customHeight="false" outlineLevel="0" collapsed="false">
      <c r="B41" s="5" t="s">
        <v>396</v>
      </c>
    </row>
    <row r="42" customFormat="false" ht="15" hidden="false" customHeight="false" outlineLevel="0" collapsed="false">
      <c r="B42" s="4" t="s">
        <v>397</v>
      </c>
    </row>
    <row r="45" customFormat="false" ht="19.5" hidden="false" customHeight="true" outlineLevel="0" collapsed="false">
      <c r="B45" s="6" t="s">
        <v>5</v>
      </c>
      <c r="C45" s="7" t="s">
        <v>377</v>
      </c>
      <c r="D45" s="7" t="s">
        <v>378</v>
      </c>
      <c r="E45" s="7" t="s">
        <v>379</v>
      </c>
      <c r="F45" s="7" t="s">
        <v>380</v>
      </c>
    </row>
    <row r="46" customFormat="false" ht="15" hidden="false" customHeight="false" outlineLevel="0" collapsed="false">
      <c r="B46" s="8" t="s">
        <v>52</v>
      </c>
      <c r="C46" s="28" t="n">
        <f aca="false">15_Sensitivität!$C$8*((1+09_Szenarien!$C$13)/(1+08_Annahmen!$F$22))*((1+09_Szenarien!$C$8)/(1+08_Annahmen!$C$9))+15_Sensitivität!$C$9*((1+09_Szenarien!$C$14)/(1+08_Annahmen!$F$23))*((1+09_Szenarien!$C$8)/(1+08_Annahmen!$C$9))+15_Sensitivität!$C$10*((1+09_Szenarien!$C$15)/(1+08_Annahmen!$F$24))*((1+09_Szenarien!$C$8)/(1+08_Annahmen!$C$9))+15_Sensitivität!$C$11*((1+09_Szenarien!$C$16)/(1+08_Annahmen!$F$25))*((1+09_Szenarien!$C$8)/(1+08_Annahmen!$C$9))+15_Sensitivität!$C$12*((1+09_Szenarien!$C$17)/(1+08_Annahmen!$F$26))*((1+09_Szenarien!$C$8)/(1+08_Annahmen!$C$9))+(15_Sensitivität!$C$18*09_Szenarien!$C$9/08_Annahmen!$C$10+15_Sensitivität!$C$19*09_Szenarien!$C$10/08_Annahmen!$C$11)+15_Sensitivität!$C$14+15_Sensitivität!$C$15</f>
        <v>7180741.35289497</v>
      </c>
      <c r="D46" s="28" t="n">
        <f aca="false">15_Sensitivität!$C$8*((1+09_Szenarien!$D$13)/(1+08_Annahmen!$F$22))*((1+09_Szenarien!$D$8)/(1+08_Annahmen!$C$9))+15_Sensitivität!$C$9*((1+09_Szenarien!$D$14)/(1+08_Annahmen!$F$23))*((1+09_Szenarien!$D$8)/(1+08_Annahmen!$C$9))+15_Sensitivität!$C$10*((1+09_Szenarien!$D$15)/(1+08_Annahmen!$F$24))*((1+09_Szenarien!$D$8)/(1+08_Annahmen!$C$9))+15_Sensitivität!$C$11*((1+09_Szenarien!$D$16)/(1+08_Annahmen!$F$25))*((1+09_Szenarien!$D$8)/(1+08_Annahmen!$C$9))+15_Sensitivität!$C$12*((1+09_Szenarien!$D$17)/(1+08_Annahmen!$F$26))*((1+09_Szenarien!$D$8)/(1+08_Annahmen!$C$9))+(15_Sensitivität!$C$18*09_Szenarien!$D$9/08_Annahmen!$C$10+15_Sensitivität!$C$19*09_Szenarien!$D$10/08_Annahmen!$C$11)+15_Sensitivität!$C$14+15_Sensitivität!$C$15</f>
        <v>8254797.15683932</v>
      </c>
      <c r="E46" s="28" t="n">
        <f aca="false">15_Sensitivität!$C$8*((1+09_Szenarien!$E$13)/(1+08_Annahmen!$F$22))*((1+09_Szenarien!$E$8)/(1+08_Annahmen!$C$9))+15_Sensitivität!$C$9*((1+09_Szenarien!$E$14)/(1+08_Annahmen!$F$23))*((1+09_Szenarien!$E$8)/(1+08_Annahmen!$C$9))+15_Sensitivität!$C$10*((1+09_Szenarien!$E$15)/(1+08_Annahmen!$F$24))*((1+09_Szenarien!$E$8)/(1+08_Annahmen!$C$9))+15_Sensitivität!$C$11*((1+09_Szenarien!$E$16)/(1+08_Annahmen!$F$25))*((1+09_Szenarien!$E$8)/(1+08_Annahmen!$C$9))+15_Sensitivität!$C$12*((1+09_Szenarien!$E$17)/(1+08_Annahmen!$F$26))*((1+09_Szenarien!$E$8)/(1+08_Annahmen!$C$9))+(15_Sensitivität!$C$18*09_Szenarien!$E$9/08_Annahmen!$C$10+15_Sensitivität!$C$19*09_Szenarien!$E$10/08_Annahmen!$C$11)+15_Sensitivität!$C$14+15_Sensitivität!$C$15</f>
        <v>9091784.59594621</v>
      </c>
      <c r="F46" s="28" t="n">
        <f aca="false">15_Sensitivität!$C$8*((1+09_Szenarien!$F$13)/(1+08_Annahmen!$F$22))*((1+09_Szenarien!$F$8)/(1+08_Annahmen!$C$9))+15_Sensitivität!$C$9*((1+09_Szenarien!$F$14)/(1+08_Annahmen!$F$23))*((1+09_Szenarien!$F$8)/(1+08_Annahmen!$C$9))+15_Sensitivität!$C$10*((1+09_Szenarien!$F$15)/(1+08_Annahmen!$F$24))*((1+09_Szenarien!$F$8)/(1+08_Annahmen!$C$9))+15_Sensitivität!$C$11*((1+09_Szenarien!$F$16)/(1+08_Annahmen!$F$25))*((1+09_Szenarien!$F$8)/(1+08_Annahmen!$C$9))+15_Sensitivität!$C$12*((1+09_Szenarien!$F$17)/(1+08_Annahmen!$F$26))*((1+09_Szenarien!$F$8)/(1+08_Annahmen!$C$9))+(15_Sensitivität!$C$18*09_Szenarien!$F$9/08_Annahmen!$C$10+15_Sensitivität!$C$19*09_Szenarien!$F$10/08_Annahmen!$C$11)+15_Sensitivität!$C$14+15_Sensitivität!$C$15</f>
        <v>8254797.15683932</v>
      </c>
    </row>
    <row r="47" customFormat="false" ht="15" hidden="false" customHeight="false" outlineLevel="0" collapsed="false">
      <c r="B47" s="8" t="s">
        <v>53</v>
      </c>
      <c r="C47" s="28" t="n">
        <f aca="false">15_Sensitivität!$C$8*((1+09_Szenarien!$C$13)/(1+08_Annahmen!$F$22))*((1+09_Szenarien!$C$8)/(1+08_Annahmen!$C$9))*(1-09_Szenarien!$C$21-15_Sensitivität!$E$8)+15_Sensitivität!$C$9*((1+09_Szenarien!$C$14)/(1+08_Annahmen!$F$23))*((1+09_Szenarien!$C$8)/(1+08_Annahmen!$C$9))*(1-09_Szenarien!$C$22-15_Sensitivität!$E$9)+15_Sensitivität!$C$10*((1+09_Szenarien!$C$15)/(1+08_Annahmen!$F$24))*((1+09_Szenarien!$C$8)/(1+08_Annahmen!$C$9))*(1-09_Szenarien!$C$23-15_Sensitivität!$E$10)+15_Sensitivität!$C$11*((1+09_Szenarien!$C$16)/(1+08_Annahmen!$F$25))*((1+09_Szenarien!$C$8)/(1+08_Annahmen!$C$9))*(1-09_Szenarien!$C$24-15_Sensitivität!$E$11)+15_Sensitivität!$C$12*((1+09_Szenarien!$C$17)/(1+08_Annahmen!$F$26))*((1+09_Szenarien!$C$8)/(1+08_Annahmen!$C$9))*(1-09_Szenarien!$C$25-15_Sensitivität!$E$12)+(15_Sensitivität!$C$18*09_Szenarien!$C$9/08_Annahmen!$C$10+15_Sensitivität!$C$19*09_Szenarien!$C$10/08_Annahmen!$C$11)*(1-09_Szenarien!$C$26-15_Sensitivität!$E$13)+15_Sensitivität!$C$14*(1-15_Sensitivität!$D$14-15_Sensitivität!$E$14)+15_Sensitivität!$C$15*(1-15_Sensitivität!$D$15-15_Sensitivität!$E$15)</f>
        <v>5617137.69740682</v>
      </c>
      <c r="D47" s="28" t="n">
        <f aca="false">15_Sensitivität!$C$8*((1+09_Szenarien!$D$13)/(1+08_Annahmen!$F$22))*((1+09_Szenarien!$D$8)/(1+08_Annahmen!$C$9))*(1-09_Szenarien!$D$21-15_Sensitivität!$E$8)+15_Sensitivität!$C$9*((1+09_Szenarien!$D$14)/(1+08_Annahmen!$F$23))*((1+09_Szenarien!$D$8)/(1+08_Annahmen!$C$9))*(1-09_Szenarien!$D$22-15_Sensitivität!$E$9)+15_Sensitivität!$C$10*((1+09_Szenarien!$D$15)/(1+08_Annahmen!$F$24))*((1+09_Szenarien!$D$8)/(1+08_Annahmen!$C$9))*(1-09_Szenarien!$D$23-15_Sensitivität!$E$10)+15_Sensitivität!$C$11*((1+09_Szenarien!$D$16)/(1+08_Annahmen!$F$25))*((1+09_Szenarien!$D$8)/(1+08_Annahmen!$C$9))*(1-09_Szenarien!$D$24-15_Sensitivität!$E$11)+15_Sensitivität!$C$12*((1+09_Szenarien!$D$17)/(1+08_Annahmen!$F$26))*((1+09_Szenarien!$D$8)/(1+08_Annahmen!$C$9))*(1-09_Szenarien!$D$25-15_Sensitivität!$E$12)+(15_Sensitivität!$C$18*09_Szenarien!$D$9/08_Annahmen!$C$10+15_Sensitivität!$C$19*09_Szenarien!$D$10/08_Annahmen!$C$11)*(1-09_Szenarien!$D$26-15_Sensitivität!$E$13)+15_Sensitivität!$C$14*(1-15_Sensitivität!$D$14-15_Sensitivität!$E$14)+15_Sensitivität!$C$15*(1-15_Sensitivität!$D$15-15_Sensitivität!$E$15)</f>
        <v>6632650.29775532</v>
      </c>
      <c r="E47" s="28" t="n">
        <f aca="false">15_Sensitivität!$C$8*((1+09_Szenarien!$E$13)/(1+08_Annahmen!$F$22))*((1+09_Szenarien!$E$8)/(1+08_Annahmen!$C$9))*(1-09_Szenarien!$E$21-15_Sensitivität!$E$8)+15_Sensitivität!$C$9*((1+09_Szenarien!$E$14)/(1+08_Annahmen!$F$23))*((1+09_Szenarien!$E$8)/(1+08_Annahmen!$C$9))*(1-09_Szenarien!$E$22-15_Sensitivität!$E$9)+15_Sensitivität!$C$10*((1+09_Szenarien!$E$15)/(1+08_Annahmen!$F$24))*((1+09_Szenarien!$E$8)/(1+08_Annahmen!$C$9))*(1-09_Szenarien!$E$23-15_Sensitivität!$E$10)+15_Sensitivität!$C$11*((1+09_Szenarien!$E$16)/(1+08_Annahmen!$F$25))*((1+09_Szenarien!$E$8)/(1+08_Annahmen!$C$9))*(1-09_Szenarien!$E$24-15_Sensitivität!$E$11)+15_Sensitivität!$C$12*((1+09_Szenarien!$E$17)/(1+08_Annahmen!$F$26))*((1+09_Szenarien!$E$8)/(1+08_Annahmen!$C$9))*(1-09_Szenarien!$E$25-15_Sensitivität!$E$12)+(15_Sensitivität!$C$18*09_Szenarien!$E$9/08_Annahmen!$C$10+15_Sensitivität!$C$19*09_Szenarien!$E$10/08_Annahmen!$C$11)*(1-09_Szenarien!$E$26-15_Sensitivität!$E$13)+15_Sensitivität!$C$14*(1-15_Sensitivität!$D$14-15_Sensitivität!$E$14)+15_Sensitivität!$C$15*(1-15_Sensitivität!$D$15-15_Sensitivität!$E$15)</f>
        <v>7404719.21067229</v>
      </c>
      <c r="F47" s="28" t="n">
        <f aca="false">15_Sensitivität!$C$8*((1+09_Szenarien!$F$13)/(1+08_Annahmen!$F$22))*((1+09_Szenarien!$F$8)/(1+08_Annahmen!$C$9))*(1-09_Szenarien!$F$21-15_Sensitivität!$E$8)+15_Sensitivität!$C$9*((1+09_Szenarien!$F$14)/(1+08_Annahmen!$F$23))*((1+09_Szenarien!$F$8)/(1+08_Annahmen!$C$9))*(1-09_Szenarien!$F$22-15_Sensitivität!$E$9)+15_Sensitivität!$C$10*((1+09_Szenarien!$F$15)/(1+08_Annahmen!$F$24))*((1+09_Szenarien!$F$8)/(1+08_Annahmen!$C$9))*(1-09_Szenarien!$F$23-15_Sensitivität!$E$10)+15_Sensitivität!$C$11*((1+09_Szenarien!$F$16)/(1+08_Annahmen!$F$25))*((1+09_Szenarien!$F$8)/(1+08_Annahmen!$C$9))*(1-09_Szenarien!$F$24-15_Sensitivität!$E$11)+15_Sensitivität!$C$12*((1+09_Szenarien!$F$17)/(1+08_Annahmen!$F$26))*((1+09_Szenarien!$F$8)/(1+08_Annahmen!$C$9))*(1-09_Szenarien!$F$25-15_Sensitivität!$E$12)+(15_Sensitivität!$C$18*09_Szenarien!$F$9/08_Annahmen!$C$10+15_Sensitivität!$C$19*09_Szenarien!$F$10/08_Annahmen!$C$11)*(1-09_Szenarien!$F$26-15_Sensitivität!$E$13)+15_Sensitivität!$C$14*(1-15_Sensitivität!$D$14-15_Sensitivität!$E$14)+15_Sensitivität!$C$15*(1-15_Sensitivität!$D$15-15_Sensitivität!$E$15)</f>
        <v>6632650.29775532</v>
      </c>
    </row>
    <row r="48" customFormat="false" ht="15" hidden="false" customHeight="false" outlineLevel="0" collapsed="false">
      <c r="B48" s="8" t="s">
        <v>43</v>
      </c>
      <c r="C48" s="28" t="n">
        <f aca="false">15_Sensitivität!$C$8*((1+09_Szenarien!$C$13)/(1+08_Annahmen!$F$22))*((1+09_Szenarien!$C$8)/(1+08_Annahmen!$C$9))*(1-09_Szenarien!$C$21-15_Sensitivität!$E$8)/(08_Annahmen!$I$22+09_Szenarien!$C$29+08_Annahmen!$C$15)+15_Sensitivität!$C$9*((1+09_Szenarien!$C$14)/(1+08_Annahmen!$F$23))*((1+09_Szenarien!$C$8)/(1+08_Annahmen!$C$9))*(1-09_Szenarien!$C$22-15_Sensitivität!$E$9)/(08_Annahmen!$I$23+09_Szenarien!$C$30+08_Annahmen!$C$15)+15_Sensitivität!$C$10*((1+09_Szenarien!$C$15)/(1+08_Annahmen!$F$24))*((1+09_Szenarien!$C$8)/(1+08_Annahmen!$C$9))*(1-09_Szenarien!$C$23-15_Sensitivität!$E$10)/(08_Annahmen!$I$24+09_Szenarien!$C$31+08_Annahmen!$C$15)+15_Sensitivität!$C$11*((1+09_Szenarien!$C$16)/(1+08_Annahmen!$F$25))*((1+09_Szenarien!$C$8)/(1+08_Annahmen!$C$9))*(1-09_Szenarien!$C$24-15_Sensitivität!$E$11)/(08_Annahmen!$I$25+09_Szenarien!$C$32+08_Annahmen!$C$15)+15_Sensitivität!$C$12*((1+09_Szenarien!$C$17)/(1+08_Annahmen!$F$26))*((1+09_Szenarien!$C$8)/(1+08_Annahmen!$C$9))*(1-09_Szenarien!$C$25-15_Sensitivität!$E$12)/(08_Annahmen!$I$26+09_Szenarien!$C$33+08_Annahmen!$C$15)+(15_Sensitivität!$C$18*09_Szenarien!$C$9/08_Annahmen!$C$10+15_Sensitivität!$C$19*09_Szenarien!$C$10/08_Annahmen!$C$11)*(1-09_Szenarien!$C$26-15_Sensitivität!$E$13)/(08_Annahmen!$I$27+09_Szenarien!$C$34+08_Annahmen!$C$15)+15_Sensitivität!$G$14+15_Sensitivität!$G$15</f>
        <v>125357657.877075</v>
      </c>
      <c r="D48" s="28" t="n">
        <f aca="false">15_Sensitivität!$C$8*((1+09_Szenarien!$D$13)/(1+08_Annahmen!$F$22))*((1+09_Szenarien!$D$8)/(1+08_Annahmen!$C$9))*(1-09_Szenarien!$D$21-15_Sensitivität!$E$8)/(08_Annahmen!$I$22+09_Szenarien!$D$29+08_Annahmen!$C$15)+15_Sensitivität!$C$9*((1+09_Szenarien!$D$14)/(1+08_Annahmen!$F$23))*((1+09_Szenarien!$D$8)/(1+08_Annahmen!$C$9))*(1-09_Szenarien!$D$22-15_Sensitivität!$E$9)/(08_Annahmen!$I$23+09_Szenarien!$D$30+08_Annahmen!$C$15)+15_Sensitivität!$C$10*((1+09_Szenarien!$D$15)/(1+08_Annahmen!$F$24))*((1+09_Szenarien!$D$8)/(1+08_Annahmen!$C$9))*(1-09_Szenarien!$D$23-15_Sensitivität!$E$10)/(08_Annahmen!$I$24+09_Szenarien!$D$31+08_Annahmen!$C$15)+15_Sensitivität!$C$11*((1+09_Szenarien!$D$16)/(1+08_Annahmen!$F$25))*((1+09_Szenarien!$D$8)/(1+08_Annahmen!$C$9))*(1-09_Szenarien!$D$24-15_Sensitivität!$E$11)/(08_Annahmen!$I$25+09_Szenarien!$D$32+08_Annahmen!$C$15)+15_Sensitivität!$C$12*((1+09_Szenarien!$D$17)/(1+08_Annahmen!$F$26))*((1+09_Szenarien!$D$8)/(1+08_Annahmen!$C$9))*(1-09_Szenarien!$D$25-15_Sensitivität!$E$12)/(08_Annahmen!$I$26+09_Szenarien!$D$33+08_Annahmen!$C$15)+(15_Sensitivität!$C$18*09_Szenarien!$D$9/08_Annahmen!$C$10+15_Sensitivität!$C$19*09_Szenarien!$D$10/08_Annahmen!$C$11)*(1-09_Szenarien!$D$26-15_Sensitivität!$E$13)/(08_Annahmen!$I$27+09_Szenarien!$D$34+08_Annahmen!$C$15)+15_Sensitivität!$G$14+15_Sensitivität!$G$15</f>
        <v>162272318.762024</v>
      </c>
      <c r="E48" s="28" t="n">
        <f aca="false">15_Sensitivität!$C$8*((1+09_Szenarien!$E$13)/(1+08_Annahmen!$F$22))*((1+09_Szenarien!$E$8)/(1+08_Annahmen!$C$9))*(1-09_Szenarien!$E$21-15_Sensitivität!$E$8)/(08_Annahmen!$I$22+09_Szenarien!$E$29+08_Annahmen!$C$15)+15_Sensitivität!$C$9*((1+09_Szenarien!$E$14)/(1+08_Annahmen!$F$23))*((1+09_Szenarien!$E$8)/(1+08_Annahmen!$C$9))*(1-09_Szenarien!$E$22-15_Sensitivität!$E$9)/(08_Annahmen!$I$23+09_Szenarien!$E$30+08_Annahmen!$C$15)+15_Sensitivität!$C$10*((1+09_Szenarien!$E$15)/(1+08_Annahmen!$F$24))*((1+09_Szenarien!$E$8)/(1+08_Annahmen!$C$9))*(1-09_Szenarien!$E$23-15_Sensitivität!$E$10)/(08_Annahmen!$I$24+09_Szenarien!$E$31+08_Annahmen!$C$15)+15_Sensitivität!$C$11*((1+09_Szenarien!$E$16)/(1+08_Annahmen!$F$25))*((1+09_Szenarien!$E$8)/(1+08_Annahmen!$C$9))*(1-09_Szenarien!$E$24-15_Sensitivität!$E$11)/(08_Annahmen!$I$25+09_Szenarien!$E$32+08_Annahmen!$C$15)+15_Sensitivität!$C$12*((1+09_Szenarien!$E$17)/(1+08_Annahmen!$F$26))*((1+09_Szenarien!$E$8)/(1+08_Annahmen!$C$9))*(1-09_Szenarien!$E$25-15_Sensitivität!$E$12)/(08_Annahmen!$I$26+09_Szenarien!$E$33+08_Annahmen!$C$15)+(15_Sensitivität!$C$18*09_Szenarien!$E$9/08_Annahmen!$C$10+15_Sensitivität!$C$19*09_Szenarien!$E$10/08_Annahmen!$C$11)*(1-09_Szenarien!$E$26-15_Sensitivität!$E$13)/(08_Annahmen!$I$27+09_Szenarien!$E$34+08_Annahmen!$C$15)+15_Sensitivität!$G$14+15_Sensitivität!$G$15</f>
        <v>194515164.561065</v>
      </c>
      <c r="F48" s="28" t="n">
        <f aca="false">15_Sensitivität!$C$8*((1+09_Szenarien!$F$13)/(1+08_Annahmen!$F$22))*((1+09_Szenarien!$F$8)/(1+08_Annahmen!$C$9))*(1-09_Szenarien!$F$21-15_Sensitivität!$E$8)/(08_Annahmen!$I$22+09_Szenarien!$F$29+08_Annahmen!$C$15)+15_Sensitivität!$C$9*((1+09_Szenarien!$F$14)/(1+08_Annahmen!$F$23))*((1+09_Szenarien!$F$8)/(1+08_Annahmen!$C$9))*(1-09_Szenarien!$F$22-15_Sensitivität!$E$9)/(08_Annahmen!$I$23+09_Szenarien!$F$30+08_Annahmen!$C$15)+15_Sensitivität!$C$10*((1+09_Szenarien!$F$15)/(1+08_Annahmen!$F$24))*((1+09_Szenarien!$F$8)/(1+08_Annahmen!$C$9))*(1-09_Szenarien!$F$23-15_Sensitivität!$E$10)/(08_Annahmen!$I$24+09_Szenarien!$F$31+08_Annahmen!$C$15)+15_Sensitivität!$C$11*((1+09_Szenarien!$F$16)/(1+08_Annahmen!$F$25))*((1+09_Szenarien!$F$8)/(1+08_Annahmen!$C$9))*(1-09_Szenarien!$F$24-15_Sensitivität!$E$11)/(08_Annahmen!$I$25+09_Szenarien!$F$32+08_Annahmen!$C$15)+15_Sensitivität!$C$12*((1+09_Szenarien!$F$17)/(1+08_Annahmen!$F$26))*((1+09_Szenarien!$F$8)/(1+08_Annahmen!$C$9))*(1-09_Szenarien!$F$25-15_Sensitivität!$E$12)/(08_Annahmen!$I$26+09_Szenarien!$F$33+08_Annahmen!$C$15)+(15_Sensitivität!$C$18*09_Szenarien!$F$9/08_Annahmen!$C$10+15_Sensitivität!$C$19*09_Szenarien!$F$10/08_Annahmen!$C$11)*(1-09_Szenarien!$F$26-15_Sensitivität!$E$13)/(08_Annahmen!$I$27+09_Szenarien!$F$34+08_Annahmen!$C$15)+15_Sensitivität!$G$14+15_Sensitivität!$G$15</f>
        <v>162272318.762024</v>
      </c>
    </row>
    <row r="49" customFormat="false" ht="15" hidden="false" customHeight="false" outlineLevel="0" collapsed="false">
      <c r="B49" s="8" t="s">
        <v>44</v>
      </c>
      <c r="C49" s="47" t="n">
        <f aca="false">C46/C48</f>
        <v>0.0572820318638719</v>
      </c>
      <c r="D49" s="47" t="n">
        <f aca="false">D46/D48</f>
        <v>0.050870026507387</v>
      </c>
      <c r="E49" s="47" t="n">
        <f aca="false">E46/E48</f>
        <v>0.0467407495783804</v>
      </c>
      <c r="F49" s="47" t="n">
        <f aca="false">F46/F48</f>
        <v>0.050870026507387</v>
      </c>
    </row>
    <row r="50" customFormat="false" ht="15" hidden="false" customHeight="false" outlineLevel="0" collapsed="false">
      <c r="B50" s="8" t="s">
        <v>398</v>
      </c>
      <c r="C50" s="47" t="n">
        <f aca="false">C47/C48</f>
        <v>0.0448088915550332</v>
      </c>
      <c r="D50" s="47" t="n">
        <f aca="false">D47/D48</f>
        <v>0.0408735781207529</v>
      </c>
      <c r="E50" s="47" t="n">
        <f aca="false">E47/E48</f>
        <v>0.0380675677774608</v>
      </c>
      <c r="F50" s="47" t="n">
        <f aca="false">F47/F48</f>
        <v>0.0408735781207529</v>
      </c>
    </row>
    <row r="51" customFormat="false" ht="15" hidden="false" customHeight="false" outlineLevel="0" collapsed="false">
      <c r="B51" s="8" t="s">
        <v>399</v>
      </c>
      <c r="C51" s="28" t="n">
        <f aca="false">C48/12_Ertragsrechnung!$E$25</f>
        <v>5639.625865425</v>
      </c>
      <c r="D51" s="28" t="n">
        <f aca="false">D48/12_Ertragsrechnung!$E$25</f>
        <v>7300.35309873288</v>
      </c>
      <c r="E51" s="28" t="n">
        <f aca="false">E48/12_Ertragsrechnung!$E$25</f>
        <v>8750.90338997627</v>
      </c>
      <c r="F51" s="28" t="n">
        <f aca="false">F48/12_Ertragsrechnung!$E$25</f>
        <v>7300.35309873288</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H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46"/>
    <col collapsed="false" customWidth="true" hidden="false" outlineLevel="0" max="4" min="3" style="0" width="14"/>
    <col collapsed="false" customWidth="true" hidden="false" outlineLevel="0" max="5" min="5" style="0" width="30"/>
    <col collapsed="false" customWidth="true" hidden="false" outlineLevel="0" max="6" min="6" style="0" width="14"/>
    <col collapsed="false" customWidth="true" hidden="false" outlineLevel="0" max="7" min="7" style="0" width="16"/>
    <col collapsed="false" customWidth="true" hidden="false" outlineLevel="0" max="8" min="8" style="0" width="18"/>
  </cols>
  <sheetData>
    <row r="2" customFormat="false" ht="19.7" hidden="false" customHeight="false" outlineLevel="0" collapsed="false">
      <c r="B2" s="26" t="s">
        <v>400</v>
      </c>
    </row>
    <row r="3" customFormat="false" ht="15" hidden="false" customHeight="false" outlineLevel="0" collapsed="false">
      <c r="B3" s="4" t="s">
        <v>401</v>
      </c>
    </row>
    <row r="6" customFormat="false" ht="15" hidden="false" customHeight="false" outlineLevel="0" collapsed="false">
      <c r="B6" s="5" t="s">
        <v>402</v>
      </c>
    </row>
    <row r="7" customFormat="false" ht="15" hidden="false" customHeight="false" outlineLevel="0" collapsed="false">
      <c r="B7" s="75" t="s">
        <v>403</v>
      </c>
      <c r="C7" s="75" t="s">
        <v>6</v>
      </c>
      <c r="D7" s="75" t="s">
        <v>7</v>
      </c>
      <c r="E7" s="75" t="s">
        <v>404</v>
      </c>
      <c r="F7" s="75"/>
    </row>
    <row r="8" customFormat="false" ht="15" hidden="false" customHeight="false" outlineLevel="0" collapsed="false">
      <c r="B8" s="77" t="s">
        <v>405</v>
      </c>
      <c r="C8" s="80" t="n">
        <v>271.2</v>
      </c>
      <c r="D8" s="77" t="s">
        <v>406</v>
      </c>
      <c r="E8" s="77" t="s">
        <v>407</v>
      </c>
    </row>
    <row r="9" customFormat="false" ht="15" hidden="false" customHeight="false" outlineLevel="0" collapsed="false">
      <c r="B9" s="77" t="s">
        <v>408</v>
      </c>
      <c r="C9" s="80" t="n">
        <v>182</v>
      </c>
      <c r="D9" s="77" t="s">
        <v>409</v>
      </c>
      <c r="E9" s="77" t="s">
        <v>410</v>
      </c>
    </row>
    <row r="10" customFormat="false" ht="15" hidden="false" customHeight="false" outlineLevel="0" collapsed="false">
      <c r="B10" s="77" t="s">
        <v>411</v>
      </c>
      <c r="C10" s="80" t="n">
        <v>144</v>
      </c>
      <c r="D10" s="77" t="s">
        <v>409</v>
      </c>
      <c r="E10" s="77" t="s">
        <v>412</v>
      </c>
    </row>
    <row r="11" customFormat="false" ht="15" hidden="false" customHeight="false" outlineLevel="0" collapsed="false">
      <c r="B11" s="77" t="s">
        <v>413</v>
      </c>
      <c r="C11" s="80" t="n">
        <v>225</v>
      </c>
      <c r="D11" s="77" t="s">
        <v>409</v>
      </c>
      <c r="E11" s="77" t="s">
        <v>414</v>
      </c>
    </row>
    <row r="14" customFormat="false" ht="15" hidden="false" customHeight="false" outlineLevel="0" collapsed="false">
      <c r="B14" s="5" t="s">
        <v>415</v>
      </c>
    </row>
    <row r="15" customFormat="false" ht="15" hidden="false" customHeight="false" outlineLevel="0" collapsed="false">
      <c r="B15" s="75" t="s">
        <v>103</v>
      </c>
      <c r="C15" s="75" t="s">
        <v>416</v>
      </c>
      <c r="D15" s="75"/>
      <c r="E15" s="75" t="s">
        <v>8</v>
      </c>
      <c r="F15" s="75"/>
    </row>
    <row r="16" customFormat="false" ht="15" hidden="false" customHeight="false" outlineLevel="0" collapsed="false">
      <c r="B16" s="77" t="s">
        <v>417</v>
      </c>
      <c r="C16" s="79" t="n">
        <v>0.031</v>
      </c>
      <c r="E16" s="77" t="s">
        <v>418</v>
      </c>
    </row>
    <row r="17" customFormat="false" ht="15" hidden="false" customHeight="false" outlineLevel="0" collapsed="false">
      <c r="B17" s="77" t="s">
        <v>130</v>
      </c>
      <c r="C17" s="79" t="n">
        <v>0.044</v>
      </c>
      <c r="E17" s="77" t="s">
        <v>419</v>
      </c>
    </row>
    <row r="18" customFormat="false" ht="15" hidden="false" customHeight="false" outlineLevel="0" collapsed="false">
      <c r="B18" s="77" t="s">
        <v>420</v>
      </c>
      <c r="C18" s="79" t="n">
        <v>0.038</v>
      </c>
      <c r="E18" s="77" t="s">
        <v>421</v>
      </c>
    </row>
    <row r="19" customFormat="false" ht="15" hidden="false" customHeight="false" outlineLevel="0" collapsed="false">
      <c r="B19" s="77" t="s">
        <v>107</v>
      </c>
      <c r="C19" s="79" t="n">
        <v>0.051</v>
      </c>
      <c r="E19" s="77" t="s">
        <v>422</v>
      </c>
    </row>
    <row r="22" customFormat="false" ht="15" hidden="false" customHeight="false" outlineLevel="0" collapsed="false">
      <c r="B22" s="5" t="s">
        <v>423</v>
      </c>
    </row>
    <row r="23" customFormat="false" ht="15" hidden="false" customHeight="false" outlineLevel="0" collapsed="false">
      <c r="B23" s="75" t="s">
        <v>424</v>
      </c>
      <c r="C23" s="75" t="s">
        <v>425</v>
      </c>
      <c r="D23" s="75" t="s">
        <v>426</v>
      </c>
      <c r="E23" s="75" t="s">
        <v>427</v>
      </c>
      <c r="F23" s="75" t="s">
        <v>428</v>
      </c>
      <c r="G23" s="75" t="s">
        <v>429</v>
      </c>
      <c r="H23" s="75" t="s">
        <v>430</v>
      </c>
    </row>
    <row r="24" customFormat="false" ht="15" hidden="false" customHeight="false" outlineLevel="0" collapsed="false">
      <c r="B24" s="77" t="s">
        <v>431</v>
      </c>
      <c r="C24" s="80" t="n">
        <v>216.125</v>
      </c>
      <c r="D24" s="80" t="n">
        <v>234.65</v>
      </c>
      <c r="E24" s="80" t="n">
        <v>247</v>
      </c>
      <c r="F24" s="80" t="n">
        <v>259.35</v>
      </c>
      <c r="G24" s="80" t="n">
        <v>277.875</v>
      </c>
      <c r="H24" s="77" t="n">
        <f aca="false">F24*1.1</f>
        <v>285.285</v>
      </c>
    </row>
    <row r="25" customFormat="false" ht="15" hidden="false" customHeight="false" outlineLevel="0" collapsed="false">
      <c r="B25" s="77" t="s">
        <v>432</v>
      </c>
      <c r="C25" s="80" t="n">
        <v>224.4</v>
      </c>
      <c r="D25" s="80" t="n">
        <v>252.96</v>
      </c>
      <c r="E25" s="80" t="n">
        <v>272</v>
      </c>
      <c r="F25" s="80" t="n">
        <v>304.64</v>
      </c>
      <c r="G25" s="80" t="n">
        <v>353.6</v>
      </c>
      <c r="H25" s="77" t="n">
        <f aca="false">F25*1.1</f>
        <v>335.104</v>
      </c>
    </row>
    <row r="27" customFormat="false" ht="15" hidden="false" customHeight="false" outlineLevel="0" collapsed="false">
      <c r="B27" s="5" t="s">
        <v>433</v>
      </c>
    </row>
    <row r="28" customFormat="false" ht="15" hidden="false" customHeight="false" outlineLevel="0" collapsed="false">
      <c r="B28" s="75" t="s">
        <v>434</v>
      </c>
      <c r="C28" s="75" t="s">
        <v>425</v>
      </c>
      <c r="D28" s="75" t="s">
        <v>426</v>
      </c>
      <c r="E28" s="75" t="s">
        <v>427</v>
      </c>
      <c r="F28" s="75" t="s">
        <v>428</v>
      </c>
      <c r="G28" s="75" t="s">
        <v>429</v>
      </c>
    </row>
    <row r="29" customFormat="false" ht="15" hidden="false" customHeight="false" outlineLevel="0" collapsed="false">
      <c r="B29" s="77" t="s">
        <v>435</v>
      </c>
      <c r="C29" s="80" t="n">
        <v>76</v>
      </c>
      <c r="D29" s="80" t="n">
        <v>126.4</v>
      </c>
      <c r="E29" s="80" t="n">
        <v>160</v>
      </c>
      <c r="F29" s="80" t="n">
        <v>168</v>
      </c>
      <c r="G29" s="80" t="n">
        <v>180</v>
      </c>
    </row>
    <row r="30" customFormat="false" ht="15" hidden="false" customHeight="false" outlineLevel="0" collapsed="false">
      <c r="B30" s="77" t="s">
        <v>436</v>
      </c>
      <c r="C30" s="80" t="n">
        <v>100.65</v>
      </c>
      <c r="D30" s="80" t="n">
        <v>150.06</v>
      </c>
      <c r="E30" s="80" t="n">
        <v>183</v>
      </c>
      <c r="F30" s="80" t="n">
        <v>234.24</v>
      </c>
      <c r="G30" s="80" t="n">
        <v>311.1</v>
      </c>
    </row>
    <row r="31" customFormat="false" ht="15" hidden="false" customHeight="false" outlineLevel="0" collapsed="false">
      <c r="B31" s="77" t="s">
        <v>437</v>
      </c>
      <c r="C31" s="80" t="n">
        <v>55</v>
      </c>
      <c r="D31" s="80" t="n">
        <v>142</v>
      </c>
      <c r="E31" s="80" t="n">
        <v>200</v>
      </c>
      <c r="F31" s="80" t="n">
        <v>256</v>
      </c>
      <c r="G31" s="80" t="n">
        <v>340</v>
      </c>
    </row>
    <row r="32" customFormat="false" ht="15" hidden="false" customHeight="false" outlineLevel="0" collapsed="false">
      <c r="B32" s="77" t="s">
        <v>438</v>
      </c>
      <c r="C32" s="80" t="n">
        <v>56.5</v>
      </c>
      <c r="D32" s="80" t="n">
        <v>158.2</v>
      </c>
      <c r="E32" s="80" t="n">
        <v>226</v>
      </c>
      <c r="F32" s="80" t="n">
        <v>296.06</v>
      </c>
      <c r="G32" s="80" t="n">
        <v>401.15</v>
      </c>
    </row>
    <row r="33" customFormat="false" ht="15" hidden="false" customHeight="false" outlineLevel="0" collapsed="false">
      <c r="B33" s="77" t="s">
        <v>439</v>
      </c>
      <c r="C33" s="80" t="n">
        <v>68.4</v>
      </c>
      <c r="D33" s="80" t="n">
        <v>113.76</v>
      </c>
      <c r="E33" s="80" t="n">
        <v>144</v>
      </c>
      <c r="F33" s="80" t="n">
        <v>151.2</v>
      </c>
      <c r="G33" s="80" t="n">
        <v>162</v>
      </c>
    </row>
    <row r="36" customFormat="false" ht="15" hidden="false" customHeight="false" outlineLevel="0" collapsed="false">
      <c r="B36" s="5" t="s">
        <v>440</v>
      </c>
    </row>
    <row r="37" customFormat="false" ht="15" hidden="false" customHeight="false" outlineLevel="0" collapsed="false">
      <c r="B37" s="75" t="s">
        <v>441</v>
      </c>
      <c r="C37" s="75" t="s">
        <v>442</v>
      </c>
      <c r="D37" s="75" t="s">
        <v>443</v>
      </c>
      <c r="E37" s="75" t="s">
        <v>444</v>
      </c>
      <c r="F37" s="75" t="s">
        <v>445</v>
      </c>
      <c r="G37" s="75" t="s">
        <v>446</v>
      </c>
    </row>
    <row r="38" customFormat="false" ht="15" hidden="false" customHeight="false" outlineLevel="0" collapsed="false">
      <c r="B38" s="77" t="s">
        <v>447</v>
      </c>
      <c r="C38" s="80" t="n">
        <v>3.51</v>
      </c>
      <c r="D38" s="80" t="n">
        <v>4.09</v>
      </c>
      <c r="E38" s="77" t="s">
        <v>448</v>
      </c>
      <c r="F38" s="77" t="s">
        <v>449</v>
      </c>
      <c r="G38" s="77" t="s">
        <v>450</v>
      </c>
    </row>
    <row r="39" customFormat="false" ht="15" hidden="false" customHeight="false" outlineLevel="0" collapsed="false">
      <c r="B39" s="77" t="s">
        <v>130</v>
      </c>
      <c r="C39" s="80" t="n">
        <v>3.32</v>
      </c>
      <c r="D39" s="80" t="n">
        <v>3.4</v>
      </c>
      <c r="E39" s="77" t="s">
        <v>451</v>
      </c>
      <c r="F39" s="77" t="s">
        <v>247</v>
      </c>
      <c r="G39" s="77" t="s">
        <v>452</v>
      </c>
    </row>
    <row r="40" customFormat="false" ht="15" hidden="false" customHeight="false" outlineLevel="0" collapsed="false">
      <c r="B40" s="77" t="s">
        <v>453</v>
      </c>
      <c r="C40" s="80" t="n">
        <v>2.97</v>
      </c>
      <c r="D40" s="80" t="n">
        <v>3.05</v>
      </c>
      <c r="E40" s="77" t="s">
        <v>307</v>
      </c>
      <c r="F40" s="77" t="s">
        <v>307</v>
      </c>
      <c r="G40" s="77" t="s">
        <v>454</v>
      </c>
    </row>
    <row r="42" customFormat="false" ht="15" hidden="false" customHeight="false" outlineLevel="0" collapsed="false">
      <c r="B42" s="5" t="s">
        <v>455</v>
      </c>
    </row>
    <row r="43" customFormat="false" ht="15" hidden="false" customHeight="false" outlineLevel="0" collapsed="false">
      <c r="B43" s="75" t="s">
        <v>5</v>
      </c>
      <c r="C43" s="75" t="s">
        <v>6</v>
      </c>
      <c r="D43" s="75"/>
      <c r="E43" s="75"/>
      <c r="F43" s="75"/>
      <c r="G43" s="75" t="s">
        <v>8</v>
      </c>
    </row>
    <row r="44" customFormat="false" ht="15" hidden="false" customHeight="false" outlineLevel="0" collapsed="false">
      <c r="B44" s="77" t="s">
        <v>456</v>
      </c>
      <c r="C44" s="77" t="s">
        <v>457</v>
      </c>
      <c r="F44" s="77" t="s">
        <v>458</v>
      </c>
    </row>
    <row r="45" customFormat="false" ht="15" hidden="false" customHeight="false" outlineLevel="0" collapsed="false">
      <c r="B45" s="77" t="s">
        <v>459</v>
      </c>
      <c r="C45" s="77" t="s">
        <v>460</v>
      </c>
      <c r="F45" s="77" t="s">
        <v>461</v>
      </c>
    </row>
    <row r="46" customFormat="false" ht="15" hidden="false" customHeight="false" outlineLevel="0" collapsed="false">
      <c r="B46" s="77" t="s">
        <v>462</v>
      </c>
      <c r="C46" s="77" t="s">
        <v>463</v>
      </c>
      <c r="F46" s="77" t="s">
        <v>464</v>
      </c>
    </row>
    <row r="47" customFormat="false" ht="15" hidden="false" customHeight="false" outlineLevel="0" collapsed="false">
      <c r="B47" s="77" t="s">
        <v>465</v>
      </c>
      <c r="C47" s="77" t="s">
        <v>466</v>
      </c>
      <c r="F47" s="77" t="s">
        <v>464</v>
      </c>
    </row>
    <row r="48" customFormat="false" ht="15" hidden="false" customHeight="false" outlineLevel="0" collapsed="false">
      <c r="B48" s="77" t="s">
        <v>467</v>
      </c>
      <c r="C48" s="77" t="s">
        <v>468</v>
      </c>
      <c r="F48" s="77" t="s">
        <v>469</v>
      </c>
    </row>
    <row r="49" customFormat="false" ht="15" hidden="false" customHeight="false" outlineLevel="0" collapsed="false">
      <c r="B49" s="77" t="s">
        <v>470</v>
      </c>
      <c r="C49" s="77" t="s">
        <v>471</v>
      </c>
      <c r="F49" s="77" t="s">
        <v>472</v>
      </c>
    </row>
    <row r="50" customFormat="false" ht="15" hidden="false" customHeight="false" outlineLevel="0" collapsed="false">
      <c r="B50" s="77" t="s">
        <v>473</v>
      </c>
      <c r="C50" s="77" t="s">
        <v>474</v>
      </c>
      <c r="F50" s="77" t="s">
        <v>475</v>
      </c>
    </row>
    <row r="51" customFormat="false" ht="15" hidden="false" customHeight="false" outlineLevel="0" collapsed="false">
      <c r="B51" s="77" t="s">
        <v>476</v>
      </c>
      <c r="C51" s="77" t="s">
        <v>477</v>
      </c>
      <c r="F51" s="77" t="s">
        <v>478</v>
      </c>
    </row>
    <row r="52" customFormat="false" ht="15" hidden="false" customHeight="false" outlineLevel="0" collapsed="false">
      <c r="B52" s="77" t="s">
        <v>479</v>
      </c>
      <c r="C52" s="77" t="s">
        <v>480</v>
      </c>
      <c r="F52" s="77" t="s">
        <v>481</v>
      </c>
    </row>
    <row r="55" customFormat="false" ht="15" hidden="false" customHeight="false" outlineLevel="0" collapsed="false">
      <c r="B55" s="4" t="s">
        <v>482</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N25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6" topLeftCell="B7" activePane="bottomRight" state="frozen"/>
      <selection pane="topLeft" activeCell="A1" activeCellId="0" sqref="A1"/>
      <selection pane="topRight" activeCell="B1" activeCellId="0" sqref="B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6"/>
    <col collapsed="false" customWidth="true" hidden="false" outlineLevel="0" max="3" min="3" style="0" width="9"/>
    <col collapsed="false" customWidth="true" hidden="false" outlineLevel="0" max="4" min="4" style="0" width="15"/>
    <col collapsed="false" customWidth="true" hidden="false" outlineLevel="0" max="5" min="5" style="0" width="8"/>
    <col collapsed="false" customWidth="true" hidden="false" outlineLevel="0" max="6" min="6" style="0" width="14"/>
    <col collapsed="false" customWidth="true" hidden="false" outlineLevel="0" max="7" min="7" style="0" width="30"/>
    <col collapsed="false" customWidth="true" hidden="false" outlineLevel="0" max="8" min="8" style="0" width="13"/>
    <col collapsed="false" customWidth="true" hidden="false" outlineLevel="0" max="9" min="9" style="0" width="10"/>
    <col collapsed="false" customWidth="true" hidden="false" outlineLevel="0" max="10" min="10" style="0" width="8"/>
    <col collapsed="false" customWidth="true" hidden="false" outlineLevel="0" max="11" min="11" style="0" width="9"/>
    <col collapsed="false" customWidth="true" hidden="false" outlineLevel="0" max="12" min="12" style="0" width="11"/>
    <col collapsed="false" customWidth="true" hidden="false" outlineLevel="0" max="13" min="13" style="0" width="12"/>
    <col collapsed="false" customWidth="true" hidden="false" outlineLevel="0" max="14" min="14" style="0" width="11"/>
  </cols>
  <sheetData>
    <row r="2" customFormat="false" ht="19.7" hidden="false" customHeight="false" outlineLevel="0" collapsed="false">
      <c r="B2" s="26" t="s">
        <v>483</v>
      </c>
    </row>
    <row r="3" customFormat="false" ht="15" hidden="false" customHeight="false" outlineLevel="0" collapsed="false">
      <c r="B3" s="4" t="s">
        <v>484</v>
      </c>
    </row>
    <row r="6" customFormat="false" ht="31.5" hidden="false" customHeight="true" outlineLevel="0" collapsed="false">
      <c r="B6" s="6" t="s">
        <v>72</v>
      </c>
      <c r="C6" s="6" t="s">
        <v>39</v>
      </c>
      <c r="D6" s="6" t="s">
        <v>485</v>
      </c>
      <c r="E6" s="6" t="s">
        <v>119</v>
      </c>
      <c r="F6" s="6" t="s">
        <v>486</v>
      </c>
      <c r="G6" s="6" t="s">
        <v>487</v>
      </c>
      <c r="H6" s="6" t="s">
        <v>488</v>
      </c>
      <c r="I6" s="7" t="s">
        <v>40</v>
      </c>
      <c r="J6" s="6" t="s">
        <v>489</v>
      </c>
      <c r="K6" s="7" t="s">
        <v>490</v>
      </c>
      <c r="L6" s="7" t="s">
        <v>491</v>
      </c>
      <c r="M6" s="7" t="s">
        <v>492</v>
      </c>
      <c r="N6" s="7" t="s">
        <v>283</v>
      </c>
    </row>
    <row r="7" customFormat="false" ht="15" hidden="false" customHeight="false" outlineLevel="0" collapsed="false">
      <c r="B7" s="8" t="n">
        <v>1</v>
      </c>
      <c r="C7" s="8" t="s">
        <v>234</v>
      </c>
      <c r="D7" s="8" t="s">
        <v>92</v>
      </c>
      <c r="E7" s="8" t="s">
        <v>124</v>
      </c>
      <c r="F7" s="8" t="s">
        <v>106</v>
      </c>
      <c r="G7" s="8" t="s">
        <v>149</v>
      </c>
      <c r="H7" s="8" t="s">
        <v>106</v>
      </c>
      <c r="I7" s="38" t="n">
        <v>214.9</v>
      </c>
      <c r="J7" s="8" t="s">
        <v>493</v>
      </c>
      <c r="K7" s="81" t="n">
        <f aca="false">(INDEX(08_Annahmen!$D$22:$D$29,MATCH($H7,08_Annahmen!$B$22:$B$29,0))/MAX($I7,15))^INDEX(08_Annahmen!$E$22:$E$29,MATCH($H7,08_Annahmen!$B$22:$B$29,0))</f>
        <v>0.788872308049924</v>
      </c>
      <c r="L7" s="82" t="n">
        <f aca="false">INDEX(08_Annahmen!$C$22:$C$29,MATCH($H7,08_Annahmen!$B$22:$B$29,0))*$K7*(1+INDEX(08_Annahmen!$F$22:$F$29,MATCH($H7,08_Annahmen!$B$22:$B$29,0)))*(1+08_Annahmen!$C$9)*(1+08_Annahmen!$C$14)*IF($J7="ja",08_Annahmen!$C$12,1)</f>
        <v>280.79909805037</v>
      </c>
      <c r="M7" s="28" t="n">
        <f aca="false">$L7*$I7</f>
        <v>60343.7261710246</v>
      </c>
      <c r="N7" s="28" t="n">
        <f aca="false">$M7/12</f>
        <v>5028.64384758538</v>
      </c>
    </row>
    <row r="8" customFormat="false" ht="15" hidden="false" customHeight="false" outlineLevel="0" collapsed="false">
      <c r="B8" s="8" t="n">
        <v>2</v>
      </c>
      <c r="C8" s="8" t="s">
        <v>234</v>
      </c>
      <c r="D8" s="8" t="s">
        <v>92</v>
      </c>
      <c r="E8" s="8" t="s">
        <v>124</v>
      </c>
      <c r="F8" s="8" t="s">
        <v>106</v>
      </c>
      <c r="G8" s="8" t="s">
        <v>150</v>
      </c>
      <c r="H8" s="8" t="s">
        <v>106</v>
      </c>
      <c r="I8" s="38" t="n">
        <v>179.5</v>
      </c>
      <c r="J8" s="8" t="s">
        <v>493</v>
      </c>
      <c r="K8" s="81" t="n">
        <f aca="false">(INDEX(08_Annahmen!$D$22:$D$29,MATCH($H8,08_Annahmen!$B$22:$B$29,0))/MAX($I8,15))^INDEX(08_Annahmen!$E$22:$E$29,MATCH($H8,08_Annahmen!$B$22:$B$29,0))</f>
        <v>0.834142058828851</v>
      </c>
      <c r="L8" s="82" t="n">
        <f aca="false">INDEX(08_Annahmen!$C$22:$C$29,MATCH($H8,08_Annahmen!$B$22:$B$29,0))*$K8*(1+INDEX(08_Annahmen!$F$22:$F$29,MATCH($H8,08_Annahmen!$B$22:$B$29,0)))*(1+08_Annahmen!$C$9)*(1+08_Annahmen!$C$14)*IF($J8="ja",08_Annahmen!$C$12,1)</f>
        <v>296.91286584013</v>
      </c>
      <c r="M8" s="28" t="n">
        <f aca="false">$L8*$I8</f>
        <v>53295.8594183033</v>
      </c>
      <c r="N8" s="28" t="n">
        <f aca="false">$M8/12</f>
        <v>4441.32161819194</v>
      </c>
    </row>
    <row r="9" customFormat="false" ht="15" hidden="false" customHeight="false" outlineLevel="0" collapsed="false">
      <c r="B9" s="8" t="n">
        <v>3</v>
      </c>
      <c r="C9" s="8" t="s">
        <v>234</v>
      </c>
      <c r="D9" s="8" t="s">
        <v>92</v>
      </c>
      <c r="E9" s="8" t="s">
        <v>124</v>
      </c>
      <c r="F9" s="8" t="s">
        <v>106</v>
      </c>
      <c r="G9" s="8" t="s">
        <v>150</v>
      </c>
      <c r="H9" s="8" t="s">
        <v>106</v>
      </c>
      <c r="I9" s="38" t="n">
        <v>179.5</v>
      </c>
      <c r="J9" s="8" t="s">
        <v>493</v>
      </c>
      <c r="K9" s="81" t="n">
        <f aca="false">(INDEX(08_Annahmen!$D$22:$D$29,MATCH($H9,08_Annahmen!$B$22:$B$29,0))/MAX($I9,15))^INDEX(08_Annahmen!$E$22:$E$29,MATCH($H9,08_Annahmen!$B$22:$B$29,0))</f>
        <v>0.834142058828851</v>
      </c>
      <c r="L9" s="82" t="n">
        <f aca="false">INDEX(08_Annahmen!$C$22:$C$29,MATCH($H9,08_Annahmen!$B$22:$B$29,0))*$K9*(1+INDEX(08_Annahmen!$F$22:$F$29,MATCH($H9,08_Annahmen!$B$22:$B$29,0)))*(1+08_Annahmen!$C$9)*(1+08_Annahmen!$C$14)*IF($J9="ja",08_Annahmen!$C$12,1)</f>
        <v>296.91286584013</v>
      </c>
      <c r="M9" s="28" t="n">
        <f aca="false">$L9*$I9</f>
        <v>53295.8594183033</v>
      </c>
      <c r="N9" s="28" t="n">
        <f aca="false">$M9/12</f>
        <v>4441.32161819194</v>
      </c>
    </row>
    <row r="10" customFormat="false" ht="15" hidden="false" customHeight="false" outlineLevel="0" collapsed="false">
      <c r="B10" s="8" t="n">
        <v>4</v>
      </c>
      <c r="C10" s="8" t="s">
        <v>234</v>
      </c>
      <c r="D10" s="8" t="s">
        <v>92</v>
      </c>
      <c r="E10" s="8" t="s">
        <v>124</v>
      </c>
      <c r="F10" s="8" t="s">
        <v>106</v>
      </c>
      <c r="G10" s="8" t="s">
        <v>150</v>
      </c>
      <c r="H10" s="8" t="s">
        <v>106</v>
      </c>
      <c r="I10" s="38" t="n">
        <v>179.5</v>
      </c>
      <c r="J10" s="8" t="s">
        <v>493</v>
      </c>
      <c r="K10" s="81" t="n">
        <f aca="false">(INDEX(08_Annahmen!$D$22:$D$29,MATCH($H10,08_Annahmen!$B$22:$B$29,0))/MAX($I10,15))^INDEX(08_Annahmen!$E$22:$E$29,MATCH($H10,08_Annahmen!$B$22:$B$29,0))</f>
        <v>0.834142058828851</v>
      </c>
      <c r="L10" s="82" t="n">
        <f aca="false">INDEX(08_Annahmen!$C$22:$C$29,MATCH($H10,08_Annahmen!$B$22:$B$29,0))*$K10*(1+INDEX(08_Annahmen!$F$22:$F$29,MATCH($H10,08_Annahmen!$B$22:$B$29,0)))*(1+08_Annahmen!$C$9)*(1+08_Annahmen!$C$14)*IF($J10="ja",08_Annahmen!$C$12,1)</f>
        <v>296.91286584013</v>
      </c>
      <c r="M10" s="28" t="n">
        <f aca="false">$L10*$I10</f>
        <v>53295.8594183033</v>
      </c>
      <c r="N10" s="28" t="n">
        <f aca="false">$M10/12</f>
        <v>4441.32161819194</v>
      </c>
    </row>
    <row r="11" customFormat="false" ht="15" hidden="false" customHeight="false" outlineLevel="0" collapsed="false">
      <c r="B11" s="8" t="n">
        <v>5</v>
      </c>
      <c r="C11" s="8" t="s">
        <v>234</v>
      </c>
      <c r="D11" s="8" t="s">
        <v>92</v>
      </c>
      <c r="E11" s="8" t="s">
        <v>124</v>
      </c>
      <c r="F11" s="8" t="s">
        <v>106</v>
      </c>
      <c r="G11" s="8" t="s">
        <v>146</v>
      </c>
      <c r="H11" s="8" t="s">
        <v>106</v>
      </c>
      <c r="I11" s="38" t="n">
        <v>148.8</v>
      </c>
      <c r="J11" s="8" t="s">
        <v>493</v>
      </c>
      <c r="K11" s="81" t="n">
        <f aca="false">(INDEX(08_Annahmen!$D$22:$D$29,MATCH($H11,08_Annahmen!$B$22:$B$29,0))/MAX($I11,15))^INDEX(08_Annahmen!$E$22:$E$29,MATCH($H11,08_Annahmen!$B$22:$B$29,0))</f>
        <v>0.884083105260627</v>
      </c>
      <c r="L11" s="82" t="n">
        <f aca="false">INDEX(08_Annahmen!$C$22:$C$29,MATCH($H11,08_Annahmen!$B$22:$B$29,0))*$K11*(1+INDEX(08_Annahmen!$F$22:$F$29,MATCH($H11,08_Annahmen!$B$22:$B$29,0)))*(1+08_Annahmen!$C$9)*(1+08_Annahmen!$C$14)*IF($J11="ja",08_Annahmen!$C$12,1)</f>
        <v>314.68938131752</v>
      </c>
      <c r="M11" s="28" t="n">
        <f aca="false">$L11*$I11</f>
        <v>46825.779940047</v>
      </c>
      <c r="N11" s="28" t="n">
        <f aca="false">$M11/12</f>
        <v>3902.14832833725</v>
      </c>
    </row>
    <row r="12" customFormat="false" ht="15" hidden="false" customHeight="false" outlineLevel="0" collapsed="false">
      <c r="B12" s="8" t="n">
        <v>6</v>
      </c>
      <c r="C12" s="8" t="s">
        <v>234</v>
      </c>
      <c r="D12" s="8" t="s">
        <v>92</v>
      </c>
      <c r="E12" s="8" t="s">
        <v>124</v>
      </c>
      <c r="F12" s="8" t="s">
        <v>106</v>
      </c>
      <c r="G12" s="8" t="s">
        <v>146</v>
      </c>
      <c r="H12" s="8" t="s">
        <v>106</v>
      </c>
      <c r="I12" s="38" t="n">
        <v>148.8</v>
      </c>
      <c r="J12" s="8" t="s">
        <v>493</v>
      </c>
      <c r="K12" s="81" t="n">
        <f aca="false">(INDEX(08_Annahmen!$D$22:$D$29,MATCH($H12,08_Annahmen!$B$22:$B$29,0))/MAX($I12,15))^INDEX(08_Annahmen!$E$22:$E$29,MATCH($H12,08_Annahmen!$B$22:$B$29,0))</f>
        <v>0.884083105260627</v>
      </c>
      <c r="L12" s="82" t="n">
        <f aca="false">INDEX(08_Annahmen!$C$22:$C$29,MATCH($H12,08_Annahmen!$B$22:$B$29,0))*$K12*(1+INDEX(08_Annahmen!$F$22:$F$29,MATCH($H12,08_Annahmen!$B$22:$B$29,0)))*(1+08_Annahmen!$C$9)*(1+08_Annahmen!$C$14)*IF($J12="ja",08_Annahmen!$C$12,1)</f>
        <v>314.68938131752</v>
      </c>
      <c r="M12" s="28" t="n">
        <f aca="false">$L12*$I12</f>
        <v>46825.779940047</v>
      </c>
      <c r="N12" s="28" t="n">
        <f aca="false">$M12/12</f>
        <v>3902.14832833725</v>
      </c>
    </row>
    <row r="13" customFormat="false" ht="15" hidden="false" customHeight="false" outlineLevel="0" collapsed="false">
      <c r="B13" s="8" t="n">
        <v>7</v>
      </c>
      <c r="C13" s="8" t="s">
        <v>234</v>
      </c>
      <c r="D13" s="8" t="s">
        <v>92</v>
      </c>
      <c r="E13" s="8" t="s">
        <v>124</v>
      </c>
      <c r="F13" s="8" t="s">
        <v>106</v>
      </c>
      <c r="G13" s="8" t="s">
        <v>146</v>
      </c>
      <c r="H13" s="8" t="s">
        <v>106</v>
      </c>
      <c r="I13" s="38" t="n">
        <v>148.8</v>
      </c>
      <c r="J13" s="8" t="s">
        <v>493</v>
      </c>
      <c r="K13" s="81" t="n">
        <f aca="false">(INDEX(08_Annahmen!$D$22:$D$29,MATCH($H13,08_Annahmen!$B$22:$B$29,0))/MAX($I13,15))^INDEX(08_Annahmen!$E$22:$E$29,MATCH($H13,08_Annahmen!$B$22:$B$29,0))</f>
        <v>0.884083105260627</v>
      </c>
      <c r="L13" s="82" t="n">
        <f aca="false">INDEX(08_Annahmen!$C$22:$C$29,MATCH($H13,08_Annahmen!$B$22:$B$29,0))*$K13*(1+INDEX(08_Annahmen!$F$22:$F$29,MATCH($H13,08_Annahmen!$B$22:$B$29,0)))*(1+08_Annahmen!$C$9)*(1+08_Annahmen!$C$14)*IF($J13="ja",08_Annahmen!$C$12,1)</f>
        <v>314.68938131752</v>
      </c>
      <c r="M13" s="28" t="n">
        <f aca="false">$L13*$I13</f>
        <v>46825.779940047</v>
      </c>
      <c r="N13" s="28" t="n">
        <f aca="false">$M13/12</f>
        <v>3902.14832833725</v>
      </c>
    </row>
    <row r="14" customFormat="false" ht="15" hidden="false" customHeight="false" outlineLevel="0" collapsed="false">
      <c r="B14" s="8" t="n">
        <v>8</v>
      </c>
      <c r="C14" s="8" t="s">
        <v>234</v>
      </c>
      <c r="D14" s="8" t="s">
        <v>92</v>
      </c>
      <c r="E14" s="8" t="s">
        <v>124</v>
      </c>
      <c r="F14" s="8" t="s">
        <v>106</v>
      </c>
      <c r="G14" s="8" t="s">
        <v>146</v>
      </c>
      <c r="H14" s="8" t="s">
        <v>106</v>
      </c>
      <c r="I14" s="38" t="n">
        <v>148.8</v>
      </c>
      <c r="J14" s="8" t="s">
        <v>493</v>
      </c>
      <c r="K14" s="81" t="n">
        <f aca="false">(INDEX(08_Annahmen!$D$22:$D$29,MATCH($H14,08_Annahmen!$B$22:$B$29,0))/MAX($I14,15))^INDEX(08_Annahmen!$E$22:$E$29,MATCH($H14,08_Annahmen!$B$22:$B$29,0))</f>
        <v>0.884083105260627</v>
      </c>
      <c r="L14" s="82" t="n">
        <f aca="false">INDEX(08_Annahmen!$C$22:$C$29,MATCH($H14,08_Annahmen!$B$22:$B$29,0))*$K14*(1+INDEX(08_Annahmen!$F$22:$F$29,MATCH($H14,08_Annahmen!$B$22:$B$29,0)))*(1+08_Annahmen!$C$9)*(1+08_Annahmen!$C$14)*IF($J14="ja",08_Annahmen!$C$12,1)</f>
        <v>314.68938131752</v>
      </c>
      <c r="M14" s="28" t="n">
        <f aca="false">$L14*$I14</f>
        <v>46825.779940047</v>
      </c>
      <c r="N14" s="28" t="n">
        <f aca="false">$M14/12</f>
        <v>3902.14832833725</v>
      </c>
    </row>
    <row r="15" customFormat="false" ht="15" hidden="false" customHeight="false" outlineLevel="0" collapsed="false">
      <c r="B15" s="8" t="n">
        <v>9</v>
      </c>
      <c r="C15" s="8" t="s">
        <v>234</v>
      </c>
      <c r="D15" s="8" t="s">
        <v>92</v>
      </c>
      <c r="E15" s="8" t="s">
        <v>129</v>
      </c>
      <c r="F15" s="8" t="s">
        <v>106</v>
      </c>
      <c r="G15" s="8" t="s">
        <v>149</v>
      </c>
      <c r="H15" s="8" t="s">
        <v>106</v>
      </c>
      <c r="I15" s="38" t="n">
        <v>218.6</v>
      </c>
      <c r="J15" s="8" t="s">
        <v>493</v>
      </c>
      <c r="K15" s="81" t="n">
        <f aca="false">(INDEX(08_Annahmen!$D$22:$D$29,MATCH($H15,08_Annahmen!$B$22:$B$29,0))/MAX($I15,15))^INDEX(08_Annahmen!$E$22:$E$29,MATCH($H15,08_Annahmen!$B$22:$B$29,0))</f>
        <v>0.784708670217708</v>
      </c>
      <c r="L15" s="82" t="n">
        <f aca="false">INDEX(08_Annahmen!$C$22:$C$29,MATCH($H15,08_Annahmen!$B$22:$B$29,0))*$K15*(1+INDEX(08_Annahmen!$F$22:$F$29,MATCH($H15,08_Annahmen!$B$22:$B$29,0)))*(1+08_Annahmen!$C$9)*(1+08_Annahmen!$C$14)*IF($J15="ja",08_Annahmen!$C$12,1)</f>
        <v>279.317051163993</v>
      </c>
      <c r="M15" s="28" t="n">
        <f aca="false">$L15*$I15</f>
        <v>61058.7073844489</v>
      </c>
      <c r="N15" s="28" t="n">
        <f aca="false">$M15/12</f>
        <v>5088.22561537074</v>
      </c>
    </row>
    <row r="16" customFormat="false" ht="15" hidden="false" customHeight="false" outlineLevel="0" collapsed="false">
      <c r="B16" s="8" t="n">
        <v>10</v>
      </c>
      <c r="C16" s="8" t="s">
        <v>234</v>
      </c>
      <c r="D16" s="8" t="s">
        <v>92</v>
      </c>
      <c r="E16" s="8" t="s">
        <v>129</v>
      </c>
      <c r="F16" s="8" t="s">
        <v>106</v>
      </c>
      <c r="G16" s="8" t="s">
        <v>150</v>
      </c>
      <c r="H16" s="8" t="s">
        <v>106</v>
      </c>
      <c r="I16" s="38" t="n">
        <v>183.1</v>
      </c>
      <c r="J16" s="8" t="s">
        <v>493</v>
      </c>
      <c r="K16" s="81" t="n">
        <f aca="false">(INDEX(08_Annahmen!$D$22:$D$29,MATCH($H16,08_Annahmen!$B$22:$B$29,0))/MAX($I16,15))^INDEX(08_Annahmen!$E$22:$E$29,MATCH($H16,08_Annahmen!$B$22:$B$29,0))</f>
        <v>0.829023064329589</v>
      </c>
      <c r="L16" s="82" t="n">
        <f aca="false">INDEX(08_Annahmen!$C$22:$C$29,MATCH($H16,08_Annahmen!$B$22:$B$29,0))*$K16*(1+INDEX(08_Annahmen!$F$22:$F$29,MATCH($H16,08_Annahmen!$B$22:$B$29,0)))*(1+08_Annahmen!$C$9)*(1+08_Annahmen!$C$14)*IF($J16="ja",08_Annahmen!$C$12,1)</f>
        <v>295.090759748117</v>
      </c>
      <c r="M16" s="28" t="n">
        <f aca="false">$L16*$I16</f>
        <v>54031.1181098803</v>
      </c>
      <c r="N16" s="28" t="n">
        <f aca="false">$M16/12</f>
        <v>4502.59317582336</v>
      </c>
    </row>
    <row r="17" customFormat="false" ht="15" hidden="false" customHeight="false" outlineLevel="0" collapsed="false">
      <c r="B17" s="8" t="n">
        <v>11</v>
      </c>
      <c r="C17" s="8" t="s">
        <v>234</v>
      </c>
      <c r="D17" s="8" t="s">
        <v>92</v>
      </c>
      <c r="E17" s="8" t="s">
        <v>129</v>
      </c>
      <c r="F17" s="8" t="s">
        <v>106</v>
      </c>
      <c r="G17" s="8" t="s">
        <v>150</v>
      </c>
      <c r="H17" s="8" t="s">
        <v>106</v>
      </c>
      <c r="I17" s="38" t="n">
        <v>183.1</v>
      </c>
      <c r="J17" s="8" t="s">
        <v>493</v>
      </c>
      <c r="K17" s="81" t="n">
        <f aca="false">(INDEX(08_Annahmen!$D$22:$D$29,MATCH($H17,08_Annahmen!$B$22:$B$29,0))/MAX($I17,15))^INDEX(08_Annahmen!$E$22:$E$29,MATCH($H17,08_Annahmen!$B$22:$B$29,0))</f>
        <v>0.829023064329589</v>
      </c>
      <c r="L17" s="82" t="n">
        <f aca="false">INDEX(08_Annahmen!$C$22:$C$29,MATCH($H17,08_Annahmen!$B$22:$B$29,0))*$K17*(1+INDEX(08_Annahmen!$F$22:$F$29,MATCH($H17,08_Annahmen!$B$22:$B$29,0)))*(1+08_Annahmen!$C$9)*(1+08_Annahmen!$C$14)*IF($J17="ja",08_Annahmen!$C$12,1)</f>
        <v>295.090759748117</v>
      </c>
      <c r="M17" s="28" t="n">
        <f aca="false">$L17*$I17</f>
        <v>54031.1181098803</v>
      </c>
      <c r="N17" s="28" t="n">
        <f aca="false">$M17/12</f>
        <v>4502.59317582336</v>
      </c>
    </row>
    <row r="18" customFormat="false" ht="15" hidden="false" customHeight="false" outlineLevel="0" collapsed="false">
      <c r="B18" s="8" t="n">
        <v>12</v>
      </c>
      <c r="C18" s="8" t="s">
        <v>234</v>
      </c>
      <c r="D18" s="8" t="s">
        <v>92</v>
      </c>
      <c r="E18" s="8" t="s">
        <v>129</v>
      </c>
      <c r="F18" s="8" t="s">
        <v>106</v>
      </c>
      <c r="G18" s="8" t="s">
        <v>150</v>
      </c>
      <c r="H18" s="8" t="s">
        <v>106</v>
      </c>
      <c r="I18" s="38" t="n">
        <v>183.1</v>
      </c>
      <c r="J18" s="8" t="s">
        <v>493</v>
      </c>
      <c r="K18" s="81" t="n">
        <f aca="false">(INDEX(08_Annahmen!$D$22:$D$29,MATCH($H18,08_Annahmen!$B$22:$B$29,0))/MAX($I18,15))^INDEX(08_Annahmen!$E$22:$E$29,MATCH($H18,08_Annahmen!$B$22:$B$29,0))</f>
        <v>0.829023064329589</v>
      </c>
      <c r="L18" s="82" t="n">
        <f aca="false">INDEX(08_Annahmen!$C$22:$C$29,MATCH($H18,08_Annahmen!$B$22:$B$29,0))*$K18*(1+INDEX(08_Annahmen!$F$22:$F$29,MATCH($H18,08_Annahmen!$B$22:$B$29,0)))*(1+08_Annahmen!$C$9)*(1+08_Annahmen!$C$14)*IF($J18="ja",08_Annahmen!$C$12,1)</f>
        <v>295.090759748117</v>
      </c>
      <c r="M18" s="28" t="n">
        <f aca="false">$L18*$I18</f>
        <v>54031.1181098803</v>
      </c>
      <c r="N18" s="28" t="n">
        <f aca="false">$M18/12</f>
        <v>4502.59317582336</v>
      </c>
    </row>
    <row r="19" customFormat="false" ht="15" hidden="false" customHeight="false" outlineLevel="0" collapsed="false">
      <c r="B19" s="8" t="n">
        <v>13</v>
      </c>
      <c r="C19" s="8" t="s">
        <v>234</v>
      </c>
      <c r="D19" s="8" t="s">
        <v>92</v>
      </c>
      <c r="E19" s="8" t="s">
        <v>129</v>
      </c>
      <c r="F19" s="8" t="s">
        <v>106</v>
      </c>
      <c r="G19" s="8" t="s">
        <v>146</v>
      </c>
      <c r="H19" s="8" t="s">
        <v>106</v>
      </c>
      <c r="I19" s="38" t="n">
        <v>152.1</v>
      </c>
      <c r="J19" s="8" t="s">
        <v>493</v>
      </c>
      <c r="K19" s="81" t="n">
        <f aca="false">(INDEX(08_Annahmen!$D$22:$D$29,MATCH($H19,08_Annahmen!$B$22:$B$29,0))/MAX($I19,15))^INDEX(08_Annahmen!$E$22:$E$29,MATCH($H19,08_Annahmen!$B$22:$B$29,0))</f>
        <v>0.878091844684357</v>
      </c>
      <c r="L19" s="82" t="n">
        <f aca="false">INDEX(08_Annahmen!$C$22:$C$29,MATCH($H19,08_Annahmen!$B$22:$B$29,0))*$K19*(1+INDEX(08_Annahmen!$F$22:$F$29,MATCH($H19,08_Annahmen!$B$22:$B$29,0)))*(1+08_Annahmen!$C$9)*(1+08_Annahmen!$C$14)*IF($J19="ja",08_Annahmen!$C$12,1)</f>
        <v>312.556792115397</v>
      </c>
      <c r="M19" s="28" t="n">
        <f aca="false">$L19*$I19</f>
        <v>47539.8880807519</v>
      </c>
      <c r="N19" s="28" t="n">
        <f aca="false">$M19/12</f>
        <v>3961.65734006266</v>
      </c>
    </row>
    <row r="20" customFormat="false" ht="15" hidden="false" customHeight="false" outlineLevel="0" collapsed="false">
      <c r="B20" s="8" t="n">
        <v>14</v>
      </c>
      <c r="C20" s="8" t="s">
        <v>234</v>
      </c>
      <c r="D20" s="8" t="s">
        <v>92</v>
      </c>
      <c r="E20" s="8" t="s">
        <v>129</v>
      </c>
      <c r="F20" s="8" t="s">
        <v>106</v>
      </c>
      <c r="G20" s="8" t="s">
        <v>146</v>
      </c>
      <c r="H20" s="8" t="s">
        <v>106</v>
      </c>
      <c r="I20" s="38" t="n">
        <v>152.1</v>
      </c>
      <c r="J20" s="8" t="s">
        <v>493</v>
      </c>
      <c r="K20" s="81" t="n">
        <f aca="false">(INDEX(08_Annahmen!$D$22:$D$29,MATCH($H20,08_Annahmen!$B$22:$B$29,0))/MAX($I20,15))^INDEX(08_Annahmen!$E$22:$E$29,MATCH($H20,08_Annahmen!$B$22:$B$29,0))</f>
        <v>0.878091844684357</v>
      </c>
      <c r="L20" s="82" t="n">
        <f aca="false">INDEX(08_Annahmen!$C$22:$C$29,MATCH($H20,08_Annahmen!$B$22:$B$29,0))*$K20*(1+INDEX(08_Annahmen!$F$22:$F$29,MATCH($H20,08_Annahmen!$B$22:$B$29,0)))*(1+08_Annahmen!$C$9)*(1+08_Annahmen!$C$14)*IF($J20="ja",08_Annahmen!$C$12,1)</f>
        <v>312.556792115397</v>
      </c>
      <c r="M20" s="28" t="n">
        <f aca="false">$L20*$I20</f>
        <v>47539.8880807519</v>
      </c>
      <c r="N20" s="28" t="n">
        <f aca="false">$M20/12</f>
        <v>3961.65734006266</v>
      </c>
    </row>
    <row r="21" customFormat="false" ht="15" hidden="false" customHeight="false" outlineLevel="0" collapsed="false">
      <c r="B21" s="8" t="n">
        <v>15</v>
      </c>
      <c r="C21" s="8" t="s">
        <v>234</v>
      </c>
      <c r="D21" s="8" t="s">
        <v>92</v>
      </c>
      <c r="E21" s="8" t="s">
        <v>129</v>
      </c>
      <c r="F21" s="8" t="s">
        <v>106</v>
      </c>
      <c r="G21" s="8" t="s">
        <v>146</v>
      </c>
      <c r="H21" s="8" t="s">
        <v>106</v>
      </c>
      <c r="I21" s="38" t="n">
        <v>152.1</v>
      </c>
      <c r="J21" s="8" t="s">
        <v>493</v>
      </c>
      <c r="K21" s="81" t="n">
        <f aca="false">(INDEX(08_Annahmen!$D$22:$D$29,MATCH($H21,08_Annahmen!$B$22:$B$29,0))/MAX($I21,15))^INDEX(08_Annahmen!$E$22:$E$29,MATCH($H21,08_Annahmen!$B$22:$B$29,0))</f>
        <v>0.878091844684357</v>
      </c>
      <c r="L21" s="82" t="n">
        <f aca="false">INDEX(08_Annahmen!$C$22:$C$29,MATCH($H21,08_Annahmen!$B$22:$B$29,0))*$K21*(1+INDEX(08_Annahmen!$F$22:$F$29,MATCH($H21,08_Annahmen!$B$22:$B$29,0)))*(1+08_Annahmen!$C$9)*(1+08_Annahmen!$C$14)*IF($J21="ja",08_Annahmen!$C$12,1)</f>
        <v>312.556792115397</v>
      </c>
      <c r="M21" s="28" t="n">
        <f aca="false">$L21*$I21</f>
        <v>47539.8880807519</v>
      </c>
      <c r="N21" s="28" t="n">
        <f aca="false">$M21/12</f>
        <v>3961.65734006266</v>
      </c>
    </row>
    <row r="22" customFormat="false" ht="15" hidden="false" customHeight="false" outlineLevel="0" collapsed="false">
      <c r="B22" s="8" t="n">
        <v>16</v>
      </c>
      <c r="C22" s="8" t="s">
        <v>234</v>
      </c>
      <c r="D22" s="8" t="s">
        <v>92</v>
      </c>
      <c r="E22" s="8" t="s">
        <v>129</v>
      </c>
      <c r="F22" s="8" t="s">
        <v>106</v>
      </c>
      <c r="G22" s="8" t="s">
        <v>146</v>
      </c>
      <c r="H22" s="8" t="s">
        <v>106</v>
      </c>
      <c r="I22" s="38" t="n">
        <v>152.1</v>
      </c>
      <c r="J22" s="8" t="s">
        <v>493</v>
      </c>
      <c r="K22" s="81" t="n">
        <f aca="false">(INDEX(08_Annahmen!$D$22:$D$29,MATCH($H22,08_Annahmen!$B$22:$B$29,0))/MAX($I22,15))^INDEX(08_Annahmen!$E$22:$E$29,MATCH($H22,08_Annahmen!$B$22:$B$29,0))</f>
        <v>0.878091844684357</v>
      </c>
      <c r="L22" s="82" t="n">
        <f aca="false">INDEX(08_Annahmen!$C$22:$C$29,MATCH($H22,08_Annahmen!$B$22:$B$29,0))*$K22*(1+INDEX(08_Annahmen!$F$22:$F$29,MATCH($H22,08_Annahmen!$B$22:$B$29,0)))*(1+08_Annahmen!$C$9)*(1+08_Annahmen!$C$14)*IF($J22="ja",08_Annahmen!$C$12,1)</f>
        <v>312.556792115397</v>
      </c>
      <c r="M22" s="28" t="n">
        <f aca="false">$L22*$I22</f>
        <v>47539.8880807519</v>
      </c>
      <c r="N22" s="28" t="n">
        <f aca="false">$M22/12</f>
        <v>3961.65734006266</v>
      </c>
    </row>
    <row r="23" customFormat="false" ht="15" hidden="false" customHeight="false" outlineLevel="0" collapsed="false">
      <c r="B23" s="8" t="n">
        <v>17</v>
      </c>
      <c r="C23" s="8" t="s">
        <v>234</v>
      </c>
      <c r="D23" s="8" t="s">
        <v>92</v>
      </c>
      <c r="E23" s="8" t="s">
        <v>131</v>
      </c>
      <c r="F23" s="8" t="s">
        <v>106</v>
      </c>
      <c r="G23" s="8" t="s">
        <v>151</v>
      </c>
      <c r="H23" s="8" t="s">
        <v>106</v>
      </c>
      <c r="I23" s="38" t="n">
        <v>143.1</v>
      </c>
      <c r="J23" s="8" t="s">
        <v>493</v>
      </c>
      <c r="K23" s="81" t="n">
        <f aca="false">(INDEX(08_Annahmen!$D$22:$D$29,MATCH($H23,08_Annahmen!$B$22:$B$29,0))/MAX($I23,15))^INDEX(08_Annahmen!$E$22:$E$29,MATCH($H23,08_Annahmen!$B$22:$B$29,0))</f>
        <v>0.894853031166944</v>
      </c>
      <c r="L23" s="82" t="n">
        <f aca="false">INDEX(08_Annahmen!$C$22:$C$29,MATCH($H23,08_Annahmen!$B$22:$B$29,0))*$K23*(1+INDEX(08_Annahmen!$F$22:$F$29,MATCH($H23,08_Annahmen!$B$22:$B$29,0)))*(1+08_Annahmen!$C$9)*(1+08_Annahmen!$C$14)*IF($J23="ja",08_Annahmen!$C$12,1)</f>
        <v>318.522936443874</v>
      </c>
      <c r="M23" s="28" t="n">
        <f aca="false">$L23*$I23</f>
        <v>45580.6322051183</v>
      </c>
      <c r="N23" s="28" t="n">
        <f aca="false">$M23/12</f>
        <v>3798.38601709319</v>
      </c>
    </row>
    <row r="24" customFormat="false" ht="15" hidden="false" customHeight="false" outlineLevel="0" collapsed="false">
      <c r="B24" s="8" t="n">
        <v>18</v>
      </c>
      <c r="C24" s="8" t="s">
        <v>234</v>
      </c>
      <c r="D24" s="8" t="s">
        <v>92</v>
      </c>
      <c r="E24" s="8" t="s">
        <v>131</v>
      </c>
      <c r="F24" s="8" t="s">
        <v>106</v>
      </c>
      <c r="G24" s="8" t="s">
        <v>151</v>
      </c>
      <c r="H24" s="8" t="s">
        <v>106</v>
      </c>
      <c r="I24" s="38" t="n">
        <v>119.2</v>
      </c>
      <c r="J24" s="8" t="s">
        <v>493</v>
      </c>
      <c r="K24" s="81" t="n">
        <f aca="false">(INDEX(08_Annahmen!$D$22:$D$29,MATCH($H24,08_Annahmen!$B$22:$B$29,0))/MAX($I24,15))^INDEX(08_Annahmen!$E$22:$E$29,MATCH($H24,08_Annahmen!$B$22:$B$29,0))</f>
        <v>0.947009554820497</v>
      </c>
      <c r="L24" s="82" t="n">
        <f aca="false">INDEX(08_Annahmen!$C$22:$C$29,MATCH($H24,08_Annahmen!$B$22:$B$29,0))*$K24*(1+INDEX(08_Annahmen!$F$22:$F$29,MATCH($H24,08_Annahmen!$B$22:$B$29,0)))*(1+08_Annahmen!$C$9)*(1+08_Annahmen!$C$14)*IF($J24="ja",08_Annahmen!$C$12,1)</f>
        <v>337.088051038356</v>
      </c>
      <c r="M24" s="28" t="n">
        <f aca="false">$L24*$I24</f>
        <v>40180.8956837721</v>
      </c>
      <c r="N24" s="28" t="n">
        <f aca="false">$M24/12</f>
        <v>3348.40797364767</v>
      </c>
    </row>
    <row r="25" customFormat="false" ht="15" hidden="false" customHeight="false" outlineLevel="0" collapsed="false">
      <c r="B25" s="8" t="n">
        <v>19</v>
      </c>
      <c r="C25" s="8" t="s">
        <v>234</v>
      </c>
      <c r="D25" s="8" t="s">
        <v>92</v>
      </c>
      <c r="E25" s="8" t="s">
        <v>131</v>
      </c>
      <c r="F25" s="8" t="s">
        <v>106</v>
      </c>
      <c r="G25" s="8" t="s">
        <v>151</v>
      </c>
      <c r="H25" s="8" t="s">
        <v>106</v>
      </c>
      <c r="I25" s="38" t="n">
        <v>119.2</v>
      </c>
      <c r="J25" s="8" t="s">
        <v>493</v>
      </c>
      <c r="K25" s="81" t="n">
        <f aca="false">(INDEX(08_Annahmen!$D$22:$D$29,MATCH($H25,08_Annahmen!$B$22:$B$29,0))/MAX($I25,15))^INDEX(08_Annahmen!$E$22:$E$29,MATCH($H25,08_Annahmen!$B$22:$B$29,0))</f>
        <v>0.947009554820497</v>
      </c>
      <c r="L25" s="82" t="n">
        <f aca="false">INDEX(08_Annahmen!$C$22:$C$29,MATCH($H25,08_Annahmen!$B$22:$B$29,0))*$K25*(1+INDEX(08_Annahmen!$F$22:$F$29,MATCH($H25,08_Annahmen!$B$22:$B$29,0)))*(1+08_Annahmen!$C$9)*(1+08_Annahmen!$C$14)*IF($J25="ja",08_Annahmen!$C$12,1)</f>
        <v>337.088051038356</v>
      </c>
      <c r="M25" s="28" t="n">
        <f aca="false">$L25*$I25</f>
        <v>40180.8956837721</v>
      </c>
      <c r="N25" s="28" t="n">
        <f aca="false">$M25/12</f>
        <v>3348.40797364767</v>
      </c>
    </row>
    <row r="26" customFormat="false" ht="15" hidden="false" customHeight="false" outlineLevel="0" collapsed="false">
      <c r="B26" s="8" t="n">
        <v>20</v>
      </c>
      <c r="C26" s="8" t="s">
        <v>234</v>
      </c>
      <c r="D26" s="8" t="s">
        <v>92</v>
      </c>
      <c r="E26" s="8" t="s">
        <v>131</v>
      </c>
      <c r="F26" s="8" t="s">
        <v>106</v>
      </c>
      <c r="G26" s="8" t="s">
        <v>151</v>
      </c>
      <c r="H26" s="8" t="s">
        <v>106</v>
      </c>
      <c r="I26" s="38" t="n">
        <v>119.2</v>
      </c>
      <c r="J26" s="8" t="s">
        <v>493</v>
      </c>
      <c r="K26" s="81" t="n">
        <f aca="false">(INDEX(08_Annahmen!$D$22:$D$29,MATCH($H26,08_Annahmen!$B$22:$B$29,0))/MAX($I26,15))^INDEX(08_Annahmen!$E$22:$E$29,MATCH($H26,08_Annahmen!$B$22:$B$29,0))</f>
        <v>0.947009554820497</v>
      </c>
      <c r="L26" s="82" t="n">
        <f aca="false">INDEX(08_Annahmen!$C$22:$C$29,MATCH($H26,08_Annahmen!$B$22:$B$29,0))*$K26*(1+INDEX(08_Annahmen!$F$22:$F$29,MATCH($H26,08_Annahmen!$B$22:$B$29,0)))*(1+08_Annahmen!$C$9)*(1+08_Annahmen!$C$14)*IF($J26="ja",08_Annahmen!$C$12,1)</f>
        <v>337.088051038356</v>
      </c>
      <c r="M26" s="28" t="n">
        <f aca="false">$L26*$I26</f>
        <v>40180.8956837721</v>
      </c>
      <c r="N26" s="28" t="n">
        <f aca="false">$M26/12</f>
        <v>3348.40797364767</v>
      </c>
    </row>
    <row r="27" customFormat="false" ht="15" hidden="false" customHeight="false" outlineLevel="0" collapsed="false">
      <c r="B27" s="8" t="n">
        <v>21</v>
      </c>
      <c r="C27" s="8" t="s">
        <v>234</v>
      </c>
      <c r="D27" s="8" t="s">
        <v>92</v>
      </c>
      <c r="E27" s="8" t="s">
        <v>131</v>
      </c>
      <c r="F27" s="8" t="s">
        <v>106</v>
      </c>
      <c r="G27" s="8" t="s">
        <v>151</v>
      </c>
      <c r="H27" s="8" t="s">
        <v>106</v>
      </c>
      <c r="I27" s="38" t="n">
        <v>97.2</v>
      </c>
      <c r="J27" s="8" t="s">
        <v>493</v>
      </c>
      <c r="K27" s="81" t="n">
        <f aca="false">(INDEX(08_Annahmen!$D$22:$D$29,MATCH($H27,08_Annahmen!$B$22:$B$29,0))/MAX($I27,15))^INDEX(08_Annahmen!$E$22:$E$29,MATCH($H27,08_Annahmen!$B$22:$B$29,0))</f>
        <v>1.00884270485364</v>
      </c>
      <c r="L27" s="82" t="n">
        <f aca="false">INDEX(08_Annahmen!$C$22:$C$29,MATCH($H27,08_Annahmen!$B$22:$B$29,0))*$K27*(1+INDEX(08_Annahmen!$F$22:$F$29,MATCH($H27,08_Annahmen!$B$22:$B$29,0)))*(1+08_Annahmen!$C$9)*(1+08_Annahmen!$C$14)*IF($J27="ja",08_Annahmen!$C$12,1)</f>
        <v>359.097560792652</v>
      </c>
      <c r="M27" s="28" t="n">
        <f aca="false">$L27*$I27</f>
        <v>34904.2829090458</v>
      </c>
      <c r="N27" s="28" t="n">
        <f aca="false">$M27/12</f>
        <v>2908.69024242048</v>
      </c>
    </row>
    <row r="28" customFormat="false" ht="15" hidden="false" customHeight="false" outlineLevel="0" collapsed="false">
      <c r="B28" s="8" t="n">
        <v>22</v>
      </c>
      <c r="C28" s="8" t="s">
        <v>234</v>
      </c>
      <c r="D28" s="8" t="s">
        <v>92</v>
      </c>
      <c r="E28" s="8" t="s">
        <v>131</v>
      </c>
      <c r="F28" s="8" t="s">
        <v>106</v>
      </c>
      <c r="G28" s="8" t="s">
        <v>151</v>
      </c>
      <c r="H28" s="8" t="s">
        <v>106</v>
      </c>
      <c r="I28" s="38" t="n">
        <v>97.2</v>
      </c>
      <c r="J28" s="8" t="s">
        <v>493</v>
      </c>
      <c r="K28" s="81" t="n">
        <f aca="false">(INDEX(08_Annahmen!$D$22:$D$29,MATCH($H28,08_Annahmen!$B$22:$B$29,0))/MAX($I28,15))^INDEX(08_Annahmen!$E$22:$E$29,MATCH($H28,08_Annahmen!$B$22:$B$29,0))</f>
        <v>1.00884270485364</v>
      </c>
      <c r="L28" s="82" t="n">
        <f aca="false">INDEX(08_Annahmen!$C$22:$C$29,MATCH($H28,08_Annahmen!$B$22:$B$29,0))*$K28*(1+INDEX(08_Annahmen!$F$22:$F$29,MATCH($H28,08_Annahmen!$B$22:$B$29,0)))*(1+08_Annahmen!$C$9)*(1+08_Annahmen!$C$14)*IF($J28="ja",08_Annahmen!$C$12,1)</f>
        <v>359.097560792652</v>
      </c>
      <c r="M28" s="28" t="n">
        <f aca="false">$L28*$I28</f>
        <v>34904.2829090458</v>
      </c>
      <c r="N28" s="28" t="n">
        <f aca="false">$M28/12</f>
        <v>2908.69024242048</v>
      </c>
    </row>
    <row r="29" customFormat="false" ht="15" hidden="false" customHeight="false" outlineLevel="0" collapsed="false">
      <c r="B29" s="8" t="n">
        <v>23</v>
      </c>
      <c r="C29" s="8" t="s">
        <v>234</v>
      </c>
      <c r="D29" s="8" t="s">
        <v>92</v>
      </c>
      <c r="E29" s="8" t="s">
        <v>131</v>
      </c>
      <c r="F29" s="8" t="s">
        <v>106</v>
      </c>
      <c r="G29" s="8" t="s">
        <v>151</v>
      </c>
      <c r="H29" s="8" t="s">
        <v>106</v>
      </c>
      <c r="I29" s="38" t="n">
        <v>97.2</v>
      </c>
      <c r="J29" s="8" t="s">
        <v>493</v>
      </c>
      <c r="K29" s="81" t="n">
        <f aca="false">(INDEX(08_Annahmen!$D$22:$D$29,MATCH($H29,08_Annahmen!$B$22:$B$29,0))/MAX($I29,15))^INDEX(08_Annahmen!$E$22:$E$29,MATCH($H29,08_Annahmen!$B$22:$B$29,0))</f>
        <v>1.00884270485364</v>
      </c>
      <c r="L29" s="82" t="n">
        <f aca="false">INDEX(08_Annahmen!$C$22:$C$29,MATCH($H29,08_Annahmen!$B$22:$B$29,0))*$K29*(1+INDEX(08_Annahmen!$F$22:$F$29,MATCH($H29,08_Annahmen!$B$22:$B$29,0)))*(1+08_Annahmen!$C$9)*(1+08_Annahmen!$C$14)*IF($J29="ja",08_Annahmen!$C$12,1)</f>
        <v>359.097560792652</v>
      </c>
      <c r="M29" s="28" t="n">
        <f aca="false">$L29*$I29</f>
        <v>34904.2829090458</v>
      </c>
      <c r="N29" s="28" t="n">
        <f aca="false">$M29/12</f>
        <v>2908.69024242048</v>
      </c>
    </row>
    <row r="30" customFormat="false" ht="15" hidden="false" customHeight="false" outlineLevel="0" collapsed="false">
      <c r="B30" s="8" t="n">
        <v>24</v>
      </c>
      <c r="C30" s="8" t="s">
        <v>234</v>
      </c>
      <c r="D30" s="8" t="s">
        <v>92</v>
      </c>
      <c r="E30" s="8" t="s">
        <v>131</v>
      </c>
      <c r="F30" s="8" t="s">
        <v>106</v>
      </c>
      <c r="G30" s="8" t="s">
        <v>151</v>
      </c>
      <c r="H30" s="8" t="s">
        <v>106</v>
      </c>
      <c r="I30" s="38" t="n">
        <v>97.2</v>
      </c>
      <c r="J30" s="8" t="s">
        <v>493</v>
      </c>
      <c r="K30" s="81" t="n">
        <f aca="false">(INDEX(08_Annahmen!$D$22:$D$29,MATCH($H30,08_Annahmen!$B$22:$B$29,0))/MAX($I30,15))^INDEX(08_Annahmen!$E$22:$E$29,MATCH($H30,08_Annahmen!$B$22:$B$29,0))</f>
        <v>1.00884270485364</v>
      </c>
      <c r="L30" s="82" t="n">
        <f aca="false">INDEX(08_Annahmen!$C$22:$C$29,MATCH($H30,08_Annahmen!$B$22:$B$29,0))*$K30*(1+INDEX(08_Annahmen!$F$22:$F$29,MATCH($H30,08_Annahmen!$B$22:$B$29,0)))*(1+08_Annahmen!$C$9)*(1+08_Annahmen!$C$14)*IF($J30="ja",08_Annahmen!$C$12,1)</f>
        <v>359.097560792652</v>
      </c>
      <c r="M30" s="28" t="n">
        <f aca="false">$L30*$I30</f>
        <v>34904.2829090458</v>
      </c>
      <c r="N30" s="28" t="n">
        <f aca="false">$M30/12</f>
        <v>2908.69024242048</v>
      </c>
    </row>
    <row r="31" customFormat="false" ht="15" hidden="false" customHeight="false" outlineLevel="0" collapsed="false">
      <c r="B31" s="8" t="n">
        <v>25</v>
      </c>
      <c r="C31" s="8" t="s">
        <v>236</v>
      </c>
      <c r="D31" s="8" t="s">
        <v>94</v>
      </c>
      <c r="E31" s="8" t="s">
        <v>124</v>
      </c>
      <c r="F31" s="8" t="s">
        <v>106</v>
      </c>
      <c r="G31" s="8" t="s">
        <v>144</v>
      </c>
      <c r="H31" s="8" t="s">
        <v>196</v>
      </c>
      <c r="I31" s="38" t="n">
        <v>71.56</v>
      </c>
      <c r="J31" s="8" t="s">
        <v>494</v>
      </c>
      <c r="K31" s="81" t="n">
        <f aca="false">(INDEX(08_Annahmen!$D$22:$D$29,MATCH($H31,08_Annahmen!$B$22:$B$29,0))/MAX($I31,15))^INDEX(08_Annahmen!$E$22:$E$29,MATCH($H31,08_Annahmen!$B$22:$B$29,0))</f>
        <v>1.10930813310156</v>
      </c>
      <c r="L31" s="82" t="n">
        <f aca="false">INDEX(08_Annahmen!$C$22:$C$29,MATCH($H31,08_Annahmen!$B$22:$B$29,0))*$K31*(1+INDEX(08_Annahmen!$F$22:$F$29,MATCH($H31,08_Annahmen!$B$22:$B$29,0)))*(1+08_Annahmen!$C$9)*(1+08_Annahmen!$C$14)*IF($J31="ja",08_Annahmen!$C$12,1)</f>
        <v>205.010393004319</v>
      </c>
      <c r="M31" s="28" t="n">
        <f aca="false">$L31*$I31</f>
        <v>14670.5437233891</v>
      </c>
      <c r="N31" s="28" t="n">
        <f aca="false">$M31/12</f>
        <v>1222.54531028242</v>
      </c>
    </row>
    <row r="32" customFormat="false" ht="15" hidden="false" customHeight="false" outlineLevel="0" collapsed="false">
      <c r="B32" s="8" t="n">
        <v>26</v>
      </c>
      <c r="C32" s="8" t="s">
        <v>236</v>
      </c>
      <c r="D32" s="8" t="s">
        <v>94</v>
      </c>
      <c r="E32" s="8" t="s">
        <v>124</v>
      </c>
      <c r="F32" s="8" t="s">
        <v>106</v>
      </c>
      <c r="G32" s="8" t="s">
        <v>145</v>
      </c>
      <c r="H32" s="8" t="s">
        <v>196</v>
      </c>
      <c r="I32" s="38" t="n">
        <v>26.88</v>
      </c>
      <c r="J32" s="8" t="s">
        <v>493</v>
      </c>
      <c r="K32" s="81" t="n">
        <f aca="false">(INDEX(08_Annahmen!$D$22:$D$29,MATCH($H32,08_Annahmen!$B$22:$B$29,0))/MAX($I32,15))^INDEX(08_Annahmen!$E$22:$E$29,MATCH($H32,08_Annahmen!$B$22:$B$29,0))</f>
        <v>1.50271606057336</v>
      </c>
      <c r="L32" s="82" t="n">
        <f aca="false">INDEX(08_Annahmen!$C$22:$C$29,MATCH($H32,08_Annahmen!$B$22:$B$29,0))*$K32*(1+INDEX(08_Annahmen!$F$22:$F$29,MATCH($H32,08_Annahmen!$B$22:$B$29,0)))*(1+08_Annahmen!$C$9)*(1+08_Annahmen!$C$14)*IF($J32="ja",08_Annahmen!$C$12,1)</f>
        <v>504.937841982465</v>
      </c>
      <c r="M32" s="28" t="n">
        <f aca="false">$L32*$I32</f>
        <v>13572.7291924887</v>
      </c>
      <c r="N32" s="28" t="n">
        <f aca="false">$M32/12</f>
        <v>1131.06076604072</v>
      </c>
    </row>
    <row r="33" customFormat="false" ht="15" hidden="false" customHeight="false" outlineLevel="0" collapsed="false">
      <c r="B33" s="8" t="n">
        <v>27</v>
      </c>
      <c r="C33" s="8" t="s">
        <v>236</v>
      </c>
      <c r="D33" s="8" t="s">
        <v>94</v>
      </c>
      <c r="E33" s="8" t="s">
        <v>124</v>
      </c>
      <c r="F33" s="8" t="s">
        <v>106</v>
      </c>
      <c r="G33" s="8" t="s">
        <v>145</v>
      </c>
      <c r="H33" s="8" t="s">
        <v>196</v>
      </c>
      <c r="I33" s="38" t="n">
        <v>26.88</v>
      </c>
      <c r="J33" s="8" t="s">
        <v>493</v>
      </c>
      <c r="K33" s="81" t="n">
        <f aca="false">(INDEX(08_Annahmen!$D$22:$D$29,MATCH($H33,08_Annahmen!$B$22:$B$29,0))/MAX($I33,15))^INDEX(08_Annahmen!$E$22:$E$29,MATCH($H33,08_Annahmen!$B$22:$B$29,0))</f>
        <v>1.50271606057336</v>
      </c>
      <c r="L33" s="82" t="n">
        <f aca="false">INDEX(08_Annahmen!$C$22:$C$29,MATCH($H33,08_Annahmen!$B$22:$B$29,0))*$K33*(1+INDEX(08_Annahmen!$F$22:$F$29,MATCH($H33,08_Annahmen!$B$22:$B$29,0)))*(1+08_Annahmen!$C$9)*(1+08_Annahmen!$C$14)*IF($J33="ja",08_Annahmen!$C$12,1)</f>
        <v>504.937841982465</v>
      </c>
      <c r="M33" s="28" t="n">
        <f aca="false">$L33*$I33</f>
        <v>13572.7291924887</v>
      </c>
      <c r="N33" s="28" t="n">
        <f aca="false">$M33/12</f>
        <v>1131.06076604072</v>
      </c>
    </row>
    <row r="34" customFormat="false" ht="15" hidden="false" customHeight="false" outlineLevel="0" collapsed="false">
      <c r="B34" s="8" t="n">
        <v>28</v>
      </c>
      <c r="C34" s="8" t="s">
        <v>236</v>
      </c>
      <c r="D34" s="8" t="s">
        <v>94</v>
      </c>
      <c r="E34" s="8" t="s">
        <v>124</v>
      </c>
      <c r="F34" s="8" t="s">
        <v>106</v>
      </c>
      <c r="G34" s="8" t="s">
        <v>145</v>
      </c>
      <c r="H34" s="8" t="s">
        <v>196</v>
      </c>
      <c r="I34" s="38" t="n">
        <v>26.88</v>
      </c>
      <c r="J34" s="8" t="s">
        <v>493</v>
      </c>
      <c r="K34" s="81" t="n">
        <f aca="false">(INDEX(08_Annahmen!$D$22:$D$29,MATCH($H34,08_Annahmen!$B$22:$B$29,0))/MAX($I34,15))^INDEX(08_Annahmen!$E$22:$E$29,MATCH($H34,08_Annahmen!$B$22:$B$29,0))</f>
        <v>1.50271606057336</v>
      </c>
      <c r="L34" s="82" t="n">
        <f aca="false">INDEX(08_Annahmen!$C$22:$C$29,MATCH($H34,08_Annahmen!$B$22:$B$29,0))*$K34*(1+INDEX(08_Annahmen!$F$22:$F$29,MATCH($H34,08_Annahmen!$B$22:$B$29,0)))*(1+08_Annahmen!$C$9)*(1+08_Annahmen!$C$14)*IF($J34="ja",08_Annahmen!$C$12,1)</f>
        <v>504.937841982465</v>
      </c>
      <c r="M34" s="28" t="n">
        <f aca="false">$L34*$I34</f>
        <v>13572.7291924887</v>
      </c>
      <c r="N34" s="28" t="n">
        <f aca="false">$M34/12</f>
        <v>1131.06076604072</v>
      </c>
    </row>
    <row r="35" customFormat="false" ht="15" hidden="false" customHeight="false" outlineLevel="0" collapsed="false">
      <c r="B35" s="8" t="n">
        <v>29</v>
      </c>
      <c r="C35" s="8" t="s">
        <v>236</v>
      </c>
      <c r="D35" s="8" t="s">
        <v>94</v>
      </c>
      <c r="E35" s="8" t="s">
        <v>124</v>
      </c>
      <c r="F35" s="8" t="s">
        <v>106</v>
      </c>
      <c r="G35" s="8" t="s">
        <v>146</v>
      </c>
      <c r="H35" s="8" t="s">
        <v>196</v>
      </c>
      <c r="I35" s="38" t="n">
        <v>147.54</v>
      </c>
      <c r="J35" s="8" t="s">
        <v>493</v>
      </c>
      <c r="K35" s="81" t="n">
        <f aca="false">(INDEX(08_Annahmen!$D$22:$D$29,MATCH($H35,08_Annahmen!$B$22:$B$29,0))/MAX($I35,15))^INDEX(08_Annahmen!$E$22:$E$29,MATCH($H35,08_Annahmen!$B$22:$B$29,0))</f>
        <v>0.886416779492777</v>
      </c>
      <c r="L35" s="82" t="n">
        <f aca="false">INDEX(08_Annahmen!$C$22:$C$29,MATCH($H35,08_Annahmen!$B$22:$B$29,0))*$K35*(1+INDEX(08_Annahmen!$F$22:$F$29,MATCH($H35,08_Annahmen!$B$22:$B$29,0)))*(1+08_Annahmen!$C$9)*(1+08_Annahmen!$C$14)*IF($J35="ja",08_Annahmen!$C$12,1)</f>
        <v>297.850929711468</v>
      </c>
      <c r="M35" s="28" t="n">
        <f aca="false">$L35*$I35</f>
        <v>43944.92616963</v>
      </c>
      <c r="N35" s="28" t="n">
        <f aca="false">$M35/12</f>
        <v>3662.0771808025</v>
      </c>
    </row>
    <row r="36" customFormat="false" ht="15" hidden="false" customHeight="false" outlineLevel="0" collapsed="false">
      <c r="B36" s="8" t="n">
        <v>30</v>
      </c>
      <c r="C36" s="8" t="s">
        <v>236</v>
      </c>
      <c r="D36" s="8" t="s">
        <v>94</v>
      </c>
      <c r="E36" s="8" t="s">
        <v>129</v>
      </c>
      <c r="F36" s="8" t="s">
        <v>106</v>
      </c>
      <c r="G36" s="8" t="s">
        <v>144</v>
      </c>
      <c r="H36" s="8" t="s">
        <v>196</v>
      </c>
      <c r="I36" s="38" t="n">
        <v>122.14</v>
      </c>
      <c r="J36" s="8" t="s">
        <v>494</v>
      </c>
      <c r="K36" s="81" t="n">
        <f aca="false">(INDEX(08_Annahmen!$D$22:$D$29,MATCH($H36,08_Annahmen!$B$22:$B$29,0))/MAX($I36,15))^INDEX(08_Annahmen!$E$22:$E$29,MATCH($H36,08_Annahmen!$B$22:$B$29,0))</f>
        <v>0.939883544746806</v>
      </c>
      <c r="L36" s="82" t="n">
        <f aca="false">INDEX(08_Annahmen!$C$22:$C$29,MATCH($H36,08_Annahmen!$B$22:$B$29,0))*$K36*(1+INDEX(08_Annahmen!$F$22:$F$29,MATCH($H36,08_Annahmen!$B$22:$B$29,0)))*(1+08_Annahmen!$C$9)*(1+08_Annahmen!$C$14)*IF($J36="ja",08_Annahmen!$C$12,1)</f>
        <v>173.699163593163</v>
      </c>
      <c r="M36" s="28" t="n">
        <f aca="false">$L36*$I36</f>
        <v>21215.6158412689</v>
      </c>
      <c r="N36" s="28" t="n">
        <f aca="false">$M36/12</f>
        <v>1767.96798677241</v>
      </c>
    </row>
    <row r="37" customFormat="false" ht="15" hidden="false" customHeight="false" outlineLevel="0" collapsed="false">
      <c r="B37" s="8" t="n">
        <v>31</v>
      </c>
      <c r="C37" s="8" t="s">
        <v>236</v>
      </c>
      <c r="D37" s="8" t="s">
        <v>94</v>
      </c>
      <c r="E37" s="8" t="s">
        <v>129</v>
      </c>
      <c r="F37" s="8" t="s">
        <v>106</v>
      </c>
      <c r="G37" s="8" t="s">
        <v>147</v>
      </c>
      <c r="H37" s="8" t="s">
        <v>196</v>
      </c>
      <c r="I37" s="38" t="n">
        <v>65.26</v>
      </c>
      <c r="J37" s="8" t="s">
        <v>494</v>
      </c>
      <c r="K37" s="81" t="n">
        <f aca="false">(INDEX(08_Annahmen!$D$22:$D$29,MATCH($H37,08_Annahmen!$B$22:$B$29,0))/MAX($I37,15))^INDEX(08_Annahmen!$E$22:$E$29,MATCH($H37,08_Annahmen!$B$22:$B$29,0))</f>
        <v>1.14145661287461</v>
      </c>
      <c r="L37" s="82" t="n">
        <f aca="false">INDEX(08_Annahmen!$C$22:$C$29,MATCH($H37,08_Annahmen!$B$22:$B$29,0))*$K37*(1+INDEX(08_Annahmen!$F$22:$F$29,MATCH($H37,08_Annahmen!$B$22:$B$29,0)))*(1+08_Annahmen!$C$9)*(1+08_Annahmen!$C$14)*IF($J37="ja",08_Annahmen!$C$12,1)</f>
        <v>210.95172911833</v>
      </c>
      <c r="M37" s="28" t="n">
        <f aca="false">$L37*$I37</f>
        <v>13766.7098422622</v>
      </c>
      <c r="N37" s="28" t="n">
        <f aca="false">$M37/12</f>
        <v>1147.22582018852</v>
      </c>
    </row>
    <row r="38" customFormat="false" ht="15" hidden="false" customHeight="false" outlineLevel="0" collapsed="false">
      <c r="B38" s="8" t="n">
        <v>32</v>
      </c>
      <c r="C38" s="8" t="s">
        <v>236</v>
      </c>
      <c r="D38" s="8" t="s">
        <v>94</v>
      </c>
      <c r="E38" s="8" t="s">
        <v>129</v>
      </c>
      <c r="F38" s="8" t="s">
        <v>106</v>
      </c>
      <c r="G38" s="8" t="s">
        <v>145</v>
      </c>
      <c r="H38" s="8" t="s">
        <v>196</v>
      </c>
      <c r="I38" s="38" t="n">
        <v>26.88</v>
      </c>
      <c r="J38" s="8" t="s">
        <v>493</v>
      </c>
      <c r="K38" s="81" t="n">
        <f aca="false">(INDEX(08_Annahmen!$D$22:$D$29,MATCH($H38,08_Annahmen!$B$22:$B$29,0))/MAX($I38,15))^INDEX(08_Annahmen!$E$22:$E$29,MATCH($H38,08_Annahmen!$B$22:$B$29,0))</f>
        <v>1.50271606057336</v>
      </c>
      <c r="L38" s="82" t="n">
        <f aca="false">INDEX(08_Annahmen!$C$22:$C$29,MATCH($H38,08_Annahmen!$B$22:$B$29,0))*$K38*(1+INDEX(08_Annahmen!$F$22:$F$29,MATCH($H38,08_Annahmen!$B$22:$B$29,0)))*(1+08_Annahmen!$C$9)*(1+08_Annahmen!$C$14)*IF($J38="ja",08_Annahmen!$C$12,1)</f>
        <v>504.937841982465</v>
      </c>
      <c r="M38" s="28" t="n">
        <f aca="false">$L38*$I38</f>
        <v>13572.7291924887</v>
      </c>
      <c r="N38" s="28" t="n">
        <f aca="false">$M38/12</f>
        <v>1131.06076604072</v>
      </c>
    </row>
    <row r="39" customFormat="false" ht="15" hidden="false" customHeight="false" outlineLevel="0" collapsed="false">
      <c r="B39" s="8" t="n">
        <v>33</v>
      </c>
      <c r="C39" s="8" t="s">
        <v>236</v>
      </c>
      <c r="D39" s="8" t="s">
        <v>94</v>
      </c>
      <c r="E39" s="8" t="s">
        <v>129</v>
      </c>
      <c r="F39" s="8" t="s">
        <v>106</v>
      </c>
      <c r="G39" s="8" t="s">
        <v>145</v>
      </c>
      <c r="H39" s="8" t="s">
        <v>196</v>
      </c>
      <c r="I39" s="38" t="n">
        <v>26.88</v>
      </c>
      <c r="J39" s="8" t="s">
        <v>493</v>
      </c>
      <c r="K39" s="81" t="n">
        <f aca="false">(INDEX(08_Annahmen!$D$22:$D$29,MATCH($H39,08_Annahmen!$B$22:$B$29,0))/MAX($I39,15))^INDEX(08_Annahmen!$E$22:$E$29,MATCH($H39,08_Annahmen!$B$22:$B$29,0))</f>
        <v>1.50271606057336</v>
      </c>
      <c r="L39" s="82" t="n">
        <f aca="false">INDEX(08_Annahmen!$C$22:$C$29,MATCH($H39,08_Annahmen!$B$22:$B$29,0))*$K39*(1+INDEX(08_Annahmen!$F$22:$F$29,MATCH($H39,08_Annahmen!$B$22:$B$29,0)))*(1+08_Annahmen!$C$9)*(1+08_Annahmen!$C$14)*IF($J39="ja",08_Annahmen!$C$12,1)</f>
        <v>504.937841982465</v>
      </c>
      <c r="M39" s="28" t="n">
        <f aca="false">$L39*$I39</f>
        <v>13572.7291924887</v>
      </c>
      <c r="N39" s="28" t="n">
        <f aca="false">$M39/12</f>
        <v>1131.06076604072</v>
      </c>
    </row>
    <row r="40" customFormat="false" ht="15" hidden="false" customHeight="false" outlineLevel="0" collapsed="false">
      <c r="B40" s="8" t="n">
        <v>34</v>
      </c>
      <c r="C40" s="8" t="s">
        <v>236</v>
      </c>
      <c r="D40" s="8" t="s">
        <v>94</v>
      </c>
      <c r="E40" s="8" t="s">
        <v>129</v>
      </c>
      <c r="F40" s="8" t="s">
        <v>106</v>
      </c>
      <c r="G40" s="8" t="s">
        <v>145</v>
      </c>
      <c r="H40" s="8" t="s">
        <v>196</v>
      </c>
      <c r="I40" s="38" t="n">
        <v>26.88</v>
      </c>
      <c r="J40" s="8" t="s">
        <v>493</v>
      </c>
      <c r="K40" s="81" t="n">
        <f aca="false">(INDEX(08_Annahmen!$D$22:$D$29,MATCH($H40,08_Annahmen!$B$22:$B$29,0))/MAX($I40,15))^INDEX(08_Annahmen!$E$22:$E$29,MATCH($H40,08_Annahmen!$B$22:$B$29,0))</f>
        <v>1.50271606057336</v>
      </c>
      <c r="L40" s="82" t="n">
        <f aca="false">INDEX(08_Annahmen!$C$22:$C$29,MATCH($H40,08_Annahmen!$B$22:$B$29,0))*$K40*(1+INDEX(08_Annahmen!$F$22:$F$29,MATCH($H40,08_Annahmen!$B$22:$B$29,0)))*(1+08_Annahmen!$C$9)*(1+08_Annahmen!$C$14)*IF($J40="ja",08_Annahmen!$C$12,1)</f>
        <v>504.937841982465</v>
      </c>
      <c r="M40" s="28" t="n">
        <f aca="false">$L40*$I40</f>
        <v>13572.7291924887</v>
      </c>
      <c r="N40" s="28" t="n">
        <f aca="false">$M40/12</f>
        <v>1131.06076604072</v>
      </c>
    </row>
    <row r="41" customFormat="false" ht="15" hidden="false" customHeight="false" outlineLevel="0" collapsed="false">
      <c r="B41" s="8" t="n">
        <v>35</v>
      </c>
      <c r="C41" s="8" t="s">
        <v>236</v>
      </c>
      <c r="D41" s="8" t="s">
        <v>94</v>
      </c>
      <c r="E41" s="8" t="s">
        <v>129</v>
      </c>
      <c r="F41" s="8" t="s">
        <v>106</v>
      </c>
      <c r="G41" s="8" t="s">
        <v>145</v>
      </c>
      <c r="H41" s="8" t="s">
        <v>196</v>
      </c>
      <c r="I41" s="38" t="n">
        <v>26.88</v>
      </c>
      <c r="J41" s="8" t="s">
        <v>493</v>
      </c>
      <c r="K41" s="81" t="n">
        <f aca="false">(INDEX(08_Annahmen!$D$22:$D$29,MATCH($H41,08_Annahmen!$B$22:$B$29,0))/MAX($I41,15))^INDEX(08_Annahmen!$E$22:$E$29,MATCH($H41,08_Annahmen!$B$22:$B$29,0))</f>
        <v>1.50271606057336</v>
      </c>
      <c r="L41" s="82" t="n">
        <f aca="false">INDEX(08_Annahmen!$C$22:$C$29,MATCH($H41,08_Annahmen!$B$22:$B$29,0))*$K41*(1+INDEX(08_Annahmen!$F$22:$F$29,MATCH($H41,08_Annahmen!$B$22:$B$29,0)))*(1+08_Annahmen!$C$9)*(1+08_Annahmen!$C$14)*IF($J41="ja",08_Annahmen!$C$12,1)</f>
        <v>504.937841982465</v>
      </c>
      <c r="M41" s="28" t="n">
        <f aca="false">$L41*$I41</f>
        <v>13572.7291924887</v>
      </c>
      <c r="N41" s="28" t="n">
        <f aca="false">$M41/12</f>
        <v>1131.06076604072</v>
      </c>
    </row>
    <row r="42" customFormat="false" ht="15" hidden="false" customHeight="false" outlineLevel="0" collapsed="false">
      <c r="B42" s="8" t="n">
        <v>36</v>
      </c>
      <c r="C42" s="8" t="s">
        <v>236</v>
      </c>
      <c r="D42" s="8" t="s">
        <v>94</v>
      </c>
      <c r="E42" s="8" t="s">
        <v>129</v>
      </c>
      <c r="F42" s="8" t="s">
        <v>106</v>
      </c>
      <c r="G42" s="8" t="s">
        <v>145</v>
      </c>
      <c r="H42" s="8" t="s">
        <v>196</v>
      </c>
      <c r="I42" s="38" t="n">
        <v>26.88</v>
      </c>
      <c r="J42" s="8" t="s">
        <v>493</v>
      </c>
      <c r="K42" s="81" t="n">
        <f aca="false">(INDEX(08_Annahmen!$D$22:$D$29,MATCH($H42,08_Annahmen!$B$22:$B$29,0))/MAX($I42,15))^INDEX(08_Annahmen!$E$22:$E$29,MATCH($H42,08_Annahmen!$B$22:$B$29,0))</f>
        <v>1.50271606057336</v>
      </c>
      <c r="L42" s="82" t="n">
        <f aca="false">INDEX(08_Annahmen!$C$22:$C$29,MATCH($H42,08_Annahmen!$B$22:$B$29,0))*$K42*(1+INDEX(08_Annahmen!$F$22:$F$29,MATCH($H42,08_Annahmen!$B$22:$B$29,0)))*(1+08_Annahmen!$C$9)*(1+08_Annahmen!$C$14)*IF($J42="ja",08_Annahmen!$C$12,1)</f>
        <v>504.937841982465</v>
      </c>
      <c r="M42" s="28" t="n">
        <f aca="false">$L42*$I42</f>
        <v>13572.7291924887</v>
      </c>
      <c r="N42" s="28" t="n">
        <f aca="false">$M42/12</f>
        <v>1131.06076604072</v>
      </c>
    </row>
    <row r="43" customFormat="false" ht="15" hidden="false" customHeight="false" outlineLevel="0" collapsed="false">
      <c r="B43" s="8" t="n">
        <v>37</v>
      </c>
      <c r="C43" s="8" t="s">
        <v>236</v>
      </c>
      <c r="D43" s="8" t="s">
        <v>94</v>
      </c>
      <c r="E43" s="8" t="s">
        <v>131</v>
      </c>
      <c r="F43" s="8" t="s">
        <v>106</v>
      </c>
      <c r="G43" s="8" t="s">
        <v>148</v>
      </c>
      <c r="H43" s="8" t="s">
        <v>196</v>
      </c>
      <c r="I43" s="38" t="n">
        <v>71.8</v>
      </c>
      <c r="J43" s="8" t="s">
        <v>494</v>
      </c>
      <c r="K43" s="81" t="n">
        <f aca="false">(INDEX(08_Annahmen!$D$22:$D$29,MATCH($H43,08_Annahmen!$B$22:$B$29,0))/MAX($I43,15))^INDEX(08_Annahmen!$E$22:$E$29,MATCH($H43,08_Annahmen!$B$22:$B$29,0))</f>
        <v>1.10815732695241</v>
      </c>
      <c r="L43" s="82" t="n">
        <f aca="false">INDEX(08_Annahmen!$C$22:$C$29,MATCH($H43,08_Annahmen!$B$22:$B$29,0))*$K43*(1+INDEX(08_Annahmen!$F$22:$F$29,MATCH($H43,08_Annahmen!$B$22:$B$29,0)))*(1+08_Annahmen!$C$9)*(1+08_Annahmen!$C$14)*IF($J43="ja",08_Annahmen!$C$12,1)</f>
        <v>204.797713394507</v>
      </c>
      <c r="M43" s="28" t="n">
        <f aca="false">$L43*$I43</f>
        <v>14704.4758217256</v>
      </c>
      <c r="N43" s="28" t="n">
        <f aca="false">$M43/12</f>
        <v>1225.3729851438</v>
      </c>
    </row>
    <row r="44" customFormat="false" ht="15" hidden="false" customHeight="false" outlineLevel="0" collapsed="false">
      <c r="B44" s="8" t="n">
        <v>38</v>
      </c>
      <c r="C44" s="8" t="s">
        <v>236</v>
      </c>
      <c r="D44" s="8" t="s">
        <v>94</v>
      </c>
      <c r="E44" s="8" t="s">
        <v>131</v>
      </c>
      <c r="F44" s="8" t="s">
        <v>106</v>
      </c>
      <c r="G44" s="8" t="s">
        <v>145</v>
      </c>
      <c r="H44" s="8" t="s">
        <v>196</v>
      </c>
      <c r="I44" s="38" t="n">
        <v>26.88</v>
      </c>
      <c r="J44" s="8" t="s">
        <v>493</v>
      </c>
      <c r="K44" s="81" t="n">
        <f aca="false">(INDEX(08_Annahmen!$D$22:$D$29,MATCH($H44,08_Annahmen!$B$22:$B$29,0))/MAX($I44,15))^INDEX(08_Annahmen!$E$22:$E$29,MATCH($H44,08_Annahmen!$B$22:$B$29,0))</f>
        <v>1.50271606057336</v>
      </c>
      <c r="L44" s="82" t="n">
        <f aca="false">INDEX(08_Annahmen!$C$22:$C$29,MATCH($H44,08_Annahmen!$B$22:$B$29,0))*$K44*(1+INDEX(08_Annahmen!$F$22:$F$29,MATCH($H44,08_Annahmen!$B$22:$B$29,0)))*(1+08_Annahmen!$C$9)*(1+08_Annahmen!$C$14)*IF($J44="ja",08_Annahmen!$C$12,1)</f>
        <v>504.937841982465</v>
      </c>
      <c r="M44" s="28" t="n">
        <f aca="false">$L44*$I44</f>
        <v>13572.7291924887</v>
      </c>
      <c r="N44" s="28" t="n">
        <f aca="false">$M44/12</f>
        <v>1131.06076604072</v>
      </c>
    </row>
    <row r="45" customFormat="false" ht="15" hidden="false" customHeight="false" outlineLevel="0" collapsed="false">
      <c r="B45" s="8" t="n">
        <v>39</v>
      </c>
      <c r="C45" s="8" t="s">
        <v>236</v>
      </c>
      <c r="D45" s="8" t="s">
        <v>94</v>
      </c>
      <c r="E45" s="8" t="s">
        <v>131</v>
      </c>
      <c r="F45" s="8" t="s">
        <v>106</v>
      </c>
      <c r="G45" s="8" t="s">
        <v>145</v>
      </c>
      <c r="H45" s="8" t="s">
        <v>196</v>
      </c>
      <c r="I45" s="38" t="n">
        <v>26.88</v>
      </c>
      <c r="J45" s="8" t="s">
        <v>493</v>
      </c>
      <c r="K45" s="81" t="n">
        <f aca="false">(INDEX(08_Annahmen!$D$22:$D$29,MATCH($H45,08_Annahmen!$B$22:$B$29,0))/MAX($I45,15))^INDEX(08_Annahmen!$E$22:$E$29,MATCH($H45,08_Annahmen!$B$22:$B$29,0))</f>
        <v>1.50271606057336</v>
      </c>
      <c r="L45" s="82" t="n">
        <f aca="false">INDEX(08_Annahmen!$C$22:$C$29,MATCH($H45,08_Annahmen!$B$22:$B$29,0))*$K45*(1+INDEX(08_Annahmen!$F$22:$F$29,MATCH($H45,08_Annahmen!$B$22:$B$29,0)))*(1+08_Annahmen!$C$9)*(1+08_Annahmen!$C$14)*IF($J45="ja",08_Annahmen!$C$12,1)</f>
        <v>504.937841982465</v>
      </c>
      <c r="M45" s="28" t="n">
        <f aca="false">$L45*$I45</f>
        <v>13572.7291924887</v>
      </c>
      <c r="N45" s="28" t="n">
        <f aca="false">$M45/12</f>
        <v>1131.06076604072</v>
      </c>
    </row>
    <row r="46" customFormat="false" ht="15" hidden="false" customHeight="false" outlineLevel="0" collapsed="false">
      <c r="B46" s="8" t="n">
        <v>40</v>
      </c>
      <c r="C46" s="8" t="s">
        <v>236</v>
      </c>
      <c r="D46" s="8" t="s">
        <v>94</v>
      </c>
      <c r="E46" s="8" t="s">
        <v>131</v>
      </c>
      <c r="F46" s="8" t="s">
        <v>106</v>
      </c>
      <c r="G46" s="8" t="s">
        <v>145</v>
      </c>
      <c r="H46" s="8" t="s">
        <v>196</v>
      </c>
      <c r="I46" s="38" t="n">
        <v>26.88</v>
      </c>
      <c r="J46" s="8" t="s">
        <v>493</v>
      </c>
      <c r="K46" s="81" t="n">
        <f aca="false">(INDEX(08_Annahmen!$D$22:$D$29,MATCH($H46,08_Annahmen!$B$22:$B$29,0))/MAX($I46,15))^INDEX(08_Annahmen!$E$22:$E$29,MATCH($H46,08_Annahmen!$B$22:$B$29,0))</f>
        <v>1.50271606057336</v>
      </c>
      <c r="L46" s="82" t="n">
        <f aca="false">INDEX(08_Annahmen!$C$22:$C$29,MATCH($H46,08_Annahmen!$B$22:$B$29,0))*$K46*(1+INDEX(08_Annahmen!$F$22:$F$29,MATCH($H46,08_Annahmen!$B$22:$B$29,0)))*(1+08_Annahmen!$C$9)*(1+08_Annahmen!$C$14)*IF($J46="ja",08_Annahmen!$C$12,1)</f>
        <v>504.937841982465</v>
      </c>
      <c r="M46" s="28" t="n">
        <f aca="false">$L46*$I46</f>
        <v>13572.7291924887</v>
      </c>
      <c r="N46" s="28" t="n">
        <f aca="false">$M46/12</f>
        <v>1131.06076604072</v>
      </c>
    </row>
    <row r="47" customFormat="false" ht="15" hidden="false" customHeight="false" outlineLevel="0" collapsed="false">
      <c r="B47" s="8" t="n">
        <v>41</v>
      </c>
      <c r="C47" s="8" t="s">
        <v>236</v>
      </c>
      <c r="D47" s="8" t="s">
        <v>94</v>
      </c>
      <c r="E47" s="8" t="s">
        <v>131</v>
      </c>
      <c r="F47" s="8" t="s">
        <v>106</v>
      </c>
      <c r="G47" s="8" t="s">
        <v>145</v>
      </c>
      <c r="H47" s="8" t="s">
        <v>196</v>
      </c>
      <c r="I47" s="38" t="n">
        <v>26.88</v>
      </c>
      <c r="J47" s="8" t="s">
        <v>493</v>
      </c>
      <c r="K47" s="81" t="n">
        <f aca="false">(INDEX(08_Annahmen!$D$22:$D$29,MATCH($H47,08_Annahmen!$B$22:$B$29,0))/MAX($I47,15))^INDEX(08_Annahmen!$E$22:$E$29,MATCH($H47,08_Annahmen!$B$22:$B$29,0))</f>
        <v>1.50271606057336</v>
      </c>
      <c r="L47" s="82" t="n">
        <f aca="false">INDEX(08_Annahmen!$C$22:$C$29,MATCH($H47,08_Annahmen!$B$22:$B$29,0))*$K47*(1+INDEX(08_Annahmen!$F$22:$F$29,MATCH($H47,08_Annahmen!$B$22:$B$29,0)))*(1+08_Annahmen!$C$9)*(1+08_Annahmen!$C$14)*IF($J47="ja",08_Annahmen!$C$12,1)</f>
        <v>504.937841982465</v>
      </c>
      <c r="M47" s="28" t="n">
        <f aca="false">$L47*$I47</f>
        <v>13572.7291924887</v>
      </c>
      <c r="N47" s="28" t="n">
        <f aca="false">$M47/12</f>
        <v>1131.06076604072</v>
      </c>
    </row>
    <row r="48" customFormat="false" ht="15" hidden="false" customHeight="false" outlineLevel="0" collapsed="false">
      <c r="B48" s="29" t="n">
        <v>42</v>
      </c>
      <c r="C48" s="29" t="s">
        <v>236</v>
      </c>
      <c r="D48" s="29" t="s">
        <v>97</v>
      </c>
      <c r="E48" s="29" t="s">
        <v>136</v>
      </c>
      <c r="F48" s="29" t="s">
        <v>495</v>
      </c>
      <c r="G48" s="29" t="s">
        <v>137</v>
      </c>
      <c r="H48" s="29" t="s">
        <v>197</v>
      </c>
      <c r="I48" s="39" t="n">
        <v>1013.66</v>
      </c>
      <c r="J48" s="29" t="s">
        <v>493</v>
      </c>
      <c r="K48" s="83" t="n">
        <f aca="false">(INDEX(08_Annahmen!$D$22:$D$29,MATCH($H48,08_Annahmen!$B$22:$B$29,0))/MAX($I48,15))^INDEX(08_Annahmen!$E$22:$E$29,MATCH($H48,08_Annahmen!$B$22:$B$29,0))</f>
        <v>1</v>
      </c>
      <c r="L48" s="84" t="n">
        <f aca="false">INDEX(08_Annahmen!$C$22:$C$29,MATCH($H48,08_Annahmen!$B$22:$B$29,0))*$K48*(1+INDEX(08_Annahmen!$F$22:$F$29,MATCH($H48,08_Annahmen!$B$22:$B$29,0)))*(1+08_Annahmen!$C$9)*(1+08_Annahmen!$C$14)*IF($J48="ja",08_Annahmen!$C$12,1)</f>
        <v>572.183967010635</v>
      </c>
      <c r="M48" s="32" t="n">
        <f aca="false">$L48*$I48</f>
        <v>580000</v>
      </c>
      <c r="N48" s="32" t="n">
        <f aca="false">$M48/12</f>
        <v>48333.3333333333</v>
      </c>
    </row>
    <row r="49" customFormat="false" ht="15" hidden="false" customHeight="false" outlineLevel="0" collapsed="false">
      <c r="B49" s="29" t="n">
        <v>43</v>
      </c>
      <c r="C49" s="29" t="s">
        <v>236</v>
      </c>
      <c r="D49" s="29" t="s">
        <v>97</v>
      </c>
      <c r="E49" s="29" t="s">
        <v>124</v>
      </c>
      <c r="F49" s="29" t="s">
        <v>107</v>
      </c>
      <c r="G49" s="29" t="s">
        <v>138</v>
      </c>
      <c r="H49" s="29" t="s">
        <v>107</v>
      </c>
      <c r="I49" s="39" t="n">
        <v>1331.76</v>
      </c>
      <c r="J49" s="29" t="s">
        <v>493</v>
      </c>
      <c r="K49" s="83" t="n">
        <f aca="false">(INDEX(08_Annahmen!$D$22:$D$29,MATCH($H49,08_Annahmen!$B$22:$B$29,0))/MAX($I49,15))^INDEX(08_Annahmen!$E$22:$E$29,MATCH($H49,08_Annahmen!$B$22:$B$29,0))</f>
        <v>0.736602419358307</v>
      </c>
      <c r="L49" s="84" t="n">
        <f aca="false">INDEX(08_Annahmen!$C$22:$C$29,MATCH($H49,08_Annahmen!$B$22:$B$29,0))*$K49*(1+INDEX(08_Annahmen!$F$22:$F$29,MATCH($H49,08_Annahmen!$B$22:$B$29,0)))*(1+08_Annahmen!$C$9)*(1+08_Annahmen!$C$14)*IF($J49="ja",08_Annahmen!$C$12,1)</f>
        <v>153.296263074008</v>
      </c>
      <c r="M49" s="32" t="n">
        <f aca="false">$L49*$I49</f>
        <v>204153.831311441</v>
      </c>
      <c r="N49" s="32" t="n">
        <f aca="false">$M49/12</f>
        <v>17012.8192759534</v>
      </c>
    </row>
    <row r="50" customFormat="false" ht="15" hidden="false" customHeight="false" outlineLevel="0" collapsed="false">
      <c r="B50" s="29" t="n">
        <v>44</v>
      </c>
      <c r="C50" s="29" t="s">
        <v>236</v>
      </c>
      <c r="D50" s="29" t="s">
        <v>97</v>
      </c>
      <c r="E50" s="29" t="s">
        <v>139</v>
      </c>
      <c r="F50" s="29" t="s">
        <v>106</v>
      </c>
      <c r="G50" s="29" t="s">
        <v>140</v>
      </c>
      <c r="H50" s="29" t="s">
        <v>196</v>
      </c>
      <c r="I50" s="39" t="n">
        <v>30</v>
      </c>
      <c r="J50" s="29" t="s">
        <v>493</v>
      </c>
      <c r="K50" s="83" t="n">
        <f aca="false">(INDEX(08_Annahmen!$D$22:$D$29,MATCH($H50,08_Annahmen!$B$22:$B$29,0))/MAX($I50,15))^INDEX(08_Annahmen!$E$22:$E$29,MATCH($H50,08_Annahmen!$B$22:$B$29,0))</f>
        <v>1.45242063698304</v>
      </c>
      <c r="L50" s="84" t="n">
        <f aca="false">INDEX(08_Annahmen!$C$22:$C$29,MATCH($H50,08_Annahmen!$B$22:$B$29,0))*$K50*(1+INDEX(08_Annahmen!$F$22:$F$29,MATCH($H50,08_Annahmen!$B$22:$B$29,0)))*(1+08_Annahmen!$C$9)*(1+08_Annahmen!$C$14)*IF($J50="ja",08_Annahmen!$C$12,1)</f>
        <v>488.037734693002</v>
      </c>
      <c r="M50" s="32" t="n">
        <f aca="false">$L50*$I50</f>
        <v>14641.1320407901</v>
      </c>
      <c r="N50" s="32" t="n">
        <f aca="false">$M50/12</f>
        <v>1220.0943367325</v>
      </c>
    </row>
    <row r="51" customFormat="false" ht="15" hidden="false" customHeight="false" outlineLevel="0" collapsed="false">
      <c r="B51" s="29" t="n">
        <v>45</v>
      </c>
      <c r="C51" s="29" t="s">
        <v>236</v>
      </c>
      <c r="D51" s="29" t="s">
        <v>97</v>
      </c>
      <c r="E51" s="29" t="s">
        <v>139</v>
      </c>
      <c r="F51" s="29" t="s">
        <v>106</v>
      </c>
      <c r="G51" s="29" t="s">
        <v>140</v>
      </c>
      <c r="H51" s="29" t="s">
        <v>196</v>
      </c>
      <c r="I51" s="39" t="n">
        <v>30</v>
      </c>
      <c r="J51" s="29" t="s">
        <v>493</v>
      </c>
      <c r="K51" s="83" t="n">
        <f aca="false">(INDEX(08_Annahmen!$D$22:$D$29,MATCH($H51,08_Annahmen!$B$22:$B$29,0))/MAX($I51,15))^INDEX(08_Annahmen!$E$22:$E$29,MATCH($H51,08_Annahmen!$B$22:$B$29,0))</f>
        <v>1.45242063698304</v>
      </c>
      <c r="L51" s="84" t="n">
        <f aca="false">INDEX(08_Annahmen!$C$22:$C$29,MATCH($H51,08_Annahmen!$B$22:$B$29,0))*$K51*(1+INDEX(08_Annahmen!$F$22:$F$29,MATCH($H51,08_Annahmen!$B$22:$B$29,0)))*(1+08_Annahmen!$C$9)*(1+08_Annahmen!$C$14)*IF($J51="ja",08_Annahmen!$C$12,1)</f>
        <v>488.037734693002</v>
      </c>
      <c r="M51" s="32" t="n">
        <f aca="false">$L51*$I51</f>
        <v>14641.1320407901</v>
      </c>
      <c r="N51" s="32" t="n">
        <f aca="false">$M51/12</f>
        <v>1220.0943367325</v>
      </c>
    </row>
    <row r="52" customFormat="false" ht="15" hidden="false" customHeight="false" outlineLevel="0" collapsed="false">
      <c r="B52" s="29" t="n">
        <v>46</v>
      </c>
      <c r="C52" s="29" t="s">
        <v>236</v>
      </c>
      <c r="D52" s="29" t="s">
        <v>97</v>
      </c>
      <c r="E52" s="29" t="s">
        <v>139</v>
      </c>
      <c r="F52" s="29" t="s">
        <v>106</v>
      </c>
      <c r="G52" s="29" t="s">
        <v>140</v>
      </c>
      <c r="H52" s="29" t="s">
        <v>196</v>
      </c>
      <c r="I52" s="39" t="n">
        <v>30</v>
      </c>
      <c r="J52" s="29" t="s">
        <v>493</v>
      </c>
      <c r="K52" s="83" t="n">
        <f aca="false">(INDEX(08_Annahmen!$D$22:$D$29,MATCH($H52,08_Annahmen!$B$22:$B$29,0))/MAX($I52,15))^INDEX(08_Annahmen!$E$22:$E$29,MATCH($H52,08_Annahmen!$B$22:$B$29,0))</f>
        <v>1.45242063698304</v>
      </c>
      <c r="L52" s="84" t="n">
        <f aca="false">INDEX(08_Annahmen!$C$22:$C$29,MATCH($H52,08_Annahmen!$B$22:$B$29,0))*$K52*(1+INDEX(08_Annahmen!$F$22:$F$29,MATCH($H52,08_Annahmen!$B$22:$B$29,0)))*(1+08_Annahmen!$C$9)*(1+08_Annahmen!$C$14)*IF($J52="ja",08_Annahmen!$C$12,1)</f>
        <v>488.037734693002</v>
      </c>
      <c r="M52" s="32" t="n">
        <f aca="false">$L52*$I52</f>
        <v>14641.1320407901</v>
      </c>
      <c r="N52" s="32" t="n">
        <f aca="false">$M52/12</f>
        <v>1220.0943367325</v>
      </c>
    </row>
    <row r="53" customFormat="false" ht="15" hidden="false" customHeight="false" outlineLevel="0" collapsed="false">
      <c r="B53" s="29" t="n">
        <v>47</v>
      </c>
      <c r="C53" s="29" t="s">
        <v>236</v>
      </c>
      <c r="D53" s="29" t="s">
        <v>97</v>
      </c>
      <c r="E53" s="29" t="s">
        <v>139</v>
      </c>
      <c r="F53" s="29" t="s">
        <v>106</v>
      </c>
      <c r="G53" s="29" t="s">
        <v>140</v>
      </c>
      <c r="H53" s="29" t="s">
        <v>196</v>
      </c>
      <c r="I53" s="39" t="n">
        <v>30</v>
      </c>
      <c r="J53" s="29" t="s">
        <v>493</v>
      </c>
      <c r="K53" s="83" t="n">
        <f aca="false">(INDEX(08_Annahmen!$D$22:$D$29,MATCH($H53,08_Annahmen!$B$22:$B$29,0))/MAX($I53,15))^INDEX(08_Annahmen!$E$22:$E$29,MATCH($H53,08_Annahmen!$B$22:$B$29,0))</f>
        <v>1.45242063698304</v>
      </c>
      <c r="L53" s="84" t="n">
        <f aca="false">INDEX(08_Annahmen!$C$22:$C$29,MATCH($H53,08_Annahmen!$B$22:$B$29,0))*$K53*(1+INDEX(08_Annahmen!$F$22:$F$29,MATCH($H53,08_Annahmen!$B$22:$B$29,0)))*(1+08_Annahmen!$C$9)*(1+08_Annahmen!$C$14)*IF($J53="ja",08_Annahmen!$C$12,1)</f>
        <v>488.037734693002</v>
      </c>
      <c r="M53" s="32" t="n">
        <f aca="false">$L53*$I53</f>
        <v>14641.1320407901</v>
      </c>
      <c r="N53" s="32" t="n">
        <f aca="false">$M53/12</f>
        <v>1220.0943367325</v>
      </c>
    </row>
    <row r="54" customFormat="false" ht="15" hidden="false" customHeight="false" outlineLevel="0" collapsed="false">
      <c r="B54" s="29" t="n">
        <v>48</v>
      </c>
      <c r="C54" s="29" t="s">
        <v>236</v>
      </c>
      <c r="D54" s="29" t="s">
        <v>97</v>
      </c>
      <c r="E54" s="29" t="s">
        <v>139</v>
      </c>
      <c r="F54" s="29" t="s">
        <v>106</v>
      </c>
      <c r="G54" s="29" t="s">
        <v>140</v>
      </c>
      <c r="H54" s="29" t="s">
        <v>196</v>
      </c>
      <c r="I54" s="39" t="n">
        <v>30</v>
      </c>
      <c r="J54" s="29" t="s">
        <v>493</v>
      </c>
      <c r="K54" s="83" t="n">
        <f aca="false">(INDEX(08_Annahmen!$D$22:$D$29,MATCH($H54,08_Annahmen!$B$22:$B$29,0))/MAX($I54,15))^INDEX(08_Annahmen!$E$22:$E$29,MATCH($H54,08_Annahmen!$B$22:$B$29,0))</f>
        <v>1.45242063698304</v>
      </c>
      <c r="L54" s="84" t="n">
        <f aca="false">INDEX(08_Annahmen!$C$22:$C$29,MATCH($H54,08_Annahmen!$B$22:$B$29,0))*$K54*(1+INDEX(08_Annahmen!$F$22:$F$29,MATCH($H54,08_Annahmen!$B$22:$B$29,0)))*(1+08_Annahmen!$C$9)*(1+08_Annahmen!$C$14)*IF($J54="ja",08_Annahmen!$C$12,1)</f>
        <v>488.037734693002</v>
      </c>
      <c r="M54" s="32" t="n">
        <f aca="false">$L54*$I54</f>
        <v>14641.1320407901</v>
      </c>
      <c r="N54" s="32" t="n">
        <f aca="false">$M54/12</f>
        <v>1220.0943367325</v>
      </c>
    </row>
    <row r="55" customFormat="false" ht="15" hidden="false" customHeight="false" outlineLevel="0" collapsed="false">
      <c r="B55" s="29" t="n">
        <v>49</v>
      </c>
      <c r="C55" s="29" t="s">
        <v>236</v>
      </c>
      <c r="D55" s="29" t="s">
        <v>97</v>
      </c>
      <c r="E55" s="29" t="s">
        <v>139</v>
      </c>
      <c r="F55" s="29" t="s">
        <v>106</v>
      </c>
      <c r="G55" s="29" t="s">
        <v>140</v>
      </c>
      <c r="H55" s="29" t="s">
        <v>196</v>
      </c>
      <c r="I55" s="39" t="n">
        <v>30</v>
      </c>
      <c r="J55" s="29" t="s">
        <v>493</v>
      </c>
      <c r="K55" s="83" t="n">
        <f aca="false">(INDEX(08_Annahmen!$D$22:$D$29,MATCH($H55,08_Annahmen!$B$22:$B$29,0))/MAX($I55,15))^INDEX(08_Annahmen!$E$22:$E$29,MATCH($H55,08_Annahmen!$B$22:$B$29,0))</f>
        <v>1.45242063698304</v>
      </c>
      <c r="L55" s="84" t="n">
        <f aca="false">INDEX(08_Annahmen!$C$22:$C$29,MATCH($H55,08_Annahmen!$B$22:$B$29,0))*$K55*(1+INDEX(08_Annahmen!$F$22:$F$29,MATCH($H55,08_Annahmen!$B$22:$B$29,0)))*(1+08_Annahmen!$C$9)*(1+08_Annahmen!$C$14)*IF($J55="ja",08_Annahmen!$C$12,1)</f>
        <v>488.037734693002</v>
      </c>
      <c r="M55" s="32" t="n">
        <f aca="false">$L55*$I55</f>
        <v>14641.1320407901</v>
      </c>
      <c r="N55" s="32" t="n">
        <f aca="false">$M55/12</f>
        <v>1220.0943367325</v>
      </c>
    </row>
    <row r="56" customFormat="false" ht="15" hidden="false" customHeight="false" outlineLevel="0" collapsed="false">
      <c r="B56" s="29" t="n">
        <v>50</v>
      </c>
      <c r="C56" s="29" t="s">
        <v>236</v>
      </c>
      <c r="D56" s="29" t="s">
        <v>97</v>
      </c>
      <c r="E56" s="29" t="s">
        <v>139</v>
      </c>
      <c r="F56" s="29" t="s">
        <v>106</v>
      </c>
      <c r="G56" s="29" t="s">
        <v>140</v>
      </c>
      <c r="H56" s="29" t="s">
        <v>196</v>
      </c>
      <c r="I56" s="39" t="n">
        <v>30</v>
      </c>
      <c r="J56" s="29" t="s">
        <v>493</v>
      </c>
      <c r="K56" s="83" t="n">
        <f aca="false">(INDEX(08_Annahmen!$D$22:$D$29,MATCH($H56,08_Annahmen!$B$22:$B$29,0))/MAX($I56,15))^INDEX(08_Annahmen!$E$22:$E$29,MATCH($H56,08_Annahmen!$B$22:$B$29,0))</f>
        <v>1.45242063698304</v>
      </c>
      <c r="L56" s="84" t="n">
        <f aca="false">INDEX(08_Annahmen!$C$22:$C$29,MATCH($H56,08_Annahmen!$B$22:$B$29,0))*$K56*(1+INDEX(08_Annahmen!$F$22:$F$29,MATCH($H56,08_Annahmen!$B$22:$B$29,0)))*(1+08_Annahmen!$C$9)*(1+08_Annahmen!$C$14)*IF($J56="ja",08_Annahmen!$C$12,1)</f>
        <v>488.037734693002</v>
      </c>
      <c r="M56" s="32" t="n">
        <f aca="false">$L56*$I56</f>
        <v>14641.1320407901</v>
      </c>
      <c r="N56" s="32" t="n">
        <f aca="false">$M56/12</f>
        <v>1220.0943367325</v>
      </c>
    </row>
    <row r="57" customFormat="false" ht="15" hidden="false" customHeight="false" outlineLevel="0" collapsed="false">
      <c r="B57" s="29" t="n">
        <v>51</v>
      </c>
      <c r="C57" s="29" t="s">
        <v>236</v>
      </c>
      <c r="D57" s="29" t="s">
        <v>97</v>
      </c>
      <c r="E57" s="29" t="s">
        <v>139</v>
      </c>
      <c r="F57" s="29" t="s">
        <v>106</v>
      </c>
      <c r="G57" s="29" t="s">
        <v>140</v>
      </c>
      <c r="H57" s="29" t="s">
        <v>196</v>
      </c>
      <c r="I57" s="39" t="n">
        <v>30</v>
      </c>
      <c r="J57" s="29" t="s">
        <v>493</v>
      </c>
      <c r="K57" s="83" t="n">
        <f aca="false">(INDEX(08_Annahmen!$D$22:$D$29,MATCH($H57,08_Annahmen!$B$22:$B$29,0))/MAX($I57,15))^INDEX(08_Annahmen!$E$22:$E$29,MATCH($H57,08_Annahmen!$B$22:$B$29,0))</f>
        <v>1.45242063698304</v>
      </c>
      <c r="L57" s="84" t="n">
        <f aca="false">INDEX(08_Annahmen!$C$22:$C$29,MATCH($H57,08_Annahmen!$B$22:$B$29,0))*$K57*(1+INDEX(08_Annahmen!$F$22:$F$29,MATCH($H57,08_Annahmen!$B$22:$B$29,0)))*(1+08_Annahmen!$C$9)*(1+08_Annahmen!$C$14)*IF($J57="ja",08_Annahmen!$C$12,1)</f>
        <v>488.037734693002</v>
      </c>
      <c r="M57" s="32" t="n">
        <f aca="false">$L57*$I57</f>
        <v>14641.1320407901</v>
      </c>
      <c r="N57" s="32" t="n">
        <f aca="false">$M57/12</f>
        <v>1220.0943367325</v>
      </c>
    </row>
    <row r="58" customFormat="false" ht="15" hidden="false" customHeight="false" outlineLevel="0" collapsed="false">
      <c r="B58" s="29" t="n">
        <v>52</v>
      </c>
      <c r="C58" s="29" t="s">
        <v>236</v>
      </c>
      <c r="D58" s="29" t="s">
        <v>97</v>
      </c>
      <c r="E58" s="29" t="s">
        <v>139</v>
      </c>
      <c r="F58" s="29" t="s">
        <v>106</v>
      </c>
      <c r="G58" s="29" t="s">
        <v>496</v>
      </c>
      <c r="H58" s="29" t="s">
        <v>196</v>
      </c>
      <c r="I58" s="39" t="n">
        <v>77.4515</v>
      </c>
      <c r="J58" s="29" t="s">
        <v>493</v>
      </c>
      <c r="K58" s="83" t="n">
        <f aca="false">(INDEX(08_Annahmen!$D$22:$D$29,MATCH($H58,08_Annahmen!$B$22:$B$29,0))/MAX($I58,15))^INDEX(08_Annahmen!$E$22:$E$29,MATCH($H58,08_Annahmen!$B$22:$B$29,0))</f>
        <v>1.0824323212053</v>
      </c>
      <c r="L58" s="84" t="n">
        <f aca="false">INDEX(08_Annahmen!$C$22:$C$29,MATCH($H58,08_Annahmen!$B$22:$B$29,0))*$K58*(1+INDEX(08_Annahmen!$F$22:$F$29,MATCH($H58,08_Annahmen!$B$22:$B$29,0)))*(1+08_Annahmen!$C$9)*(1+08_Annahmen!$C$14)*IF($J58="ja",08_Annahmen!$C$12,1)</f>
        <v>363.715444787978</v>
      </c>
      <c r="M58" s="32" t="n">
        <f aca="false">$L58*$I58</f>
        <v>28170.306771996</v>
      </c>
      <c r="N58" s="32" t="n">
        <f aca="false">$M58/12</f>
        <v>2347.525564333</v>
      </c>
    </row>
    <row r="59" customFormat="false" ht="15" hidden="false" customHeight="false" outlineLevel="0" collapsed="false">
      <c r="B59" s="29" t="n">
        <v>53</v>
      </c>
      <c r="C59" s="29" t="s">
        <v>236</v>
      </c>
      <c r="D59" s="29" t="s">
        <v>97</v>
      </c>
      <c r="E59" s="29" t="s">
        <v>139</v>
      </c>
      <c r="F59" s="29" t="s">
        <v>106</v>
      </c>
      <c r="G59" s="29" t="s">
        <v>496</v>
      </c>
      <c r="H59" s="29" t="s">
        <v>196</v>
      </c>
      <c r="I59" s="39" t="n">
        <v>77.4515</v>
      </c>
      <c r="J59" s="29" t="s">
        <v>493</v>
      </c>
      <c r="K59" s="83" t="n">
        <f aca="false">(INDEX(08_Annahmen!$D$22:$D$29,MATCH($H59,08_Annahmen!$B$22:$B$29,0))/MAX($I59,15))^INDEX(08_Annahmen!$E$22:$E$29,MATCH($H59,08_Annahmen!$B$22:$B$29,0))</f>
        <v>1.0824323212053</v>
      </c>
      <c r="L59" s="84" t="n">
        <f aca="false">INDEX(08_Annahmen!$C$22:$C$29,MATCH($H59,08_Annahmen!$B$22:$B$29,0))*$K59*(1+INDEX(08_Annahmen!$F$22:$F$29,MATCH($H59,08_Annahmen!$B$22:$B$29,0)))*(1+08_Annahmen!$C$9)*(1+08_Annahmen!$C$14)*IF($J59="ja",08_Annahmen!$C$12,1)</f>
        <v>363.715444787978</v>
      </c>
      <c r="M59" s="32" t="n">
        <f aca="false">$L59*$I59</f>
        <v>28170.306771996</v>
      </c>
      <c r="N59" s="32" t="n">
        <f aca="false">$M59/12</f>
        <v>2347.525564333</v>
      </c>
    </row>
    <row r="60" customFormat="false" ht="15" hidden="false" customHeight="false" outlineLevel="0" collapsed="false">
      <c r="B60" s="29" t="n">
        <v>54</v>
      </c>
      <c r="C60" s="29" t="s">
        <v>236</v>
      </c>
      <c r="D60" s="29" t="s">
        <v>97</v>
      </c>
      <c r="E60" s="29" t="s">
        <v>139</v>
      </c>
      <c r="F60" s="29" t="s">
        <v>106</v>
      </c>
      <c r="G60" s="29" t="s">
        <v>496</v>
      </c>
      <c r="H60" s="29" t="s">
        <v>196</v>
      </c>
      <c r="I60" s="39" t="n">
        <v>77.4515</v>
      </c>
      <c r="J60" s="29" t="s">
        <v>493</v>
      </c>
      <c r="K60" s="83" t="n">
        <f aca="false">(INDEX(08_Annahmen!$D$22:$D$29,MATCH($H60,08_Annahmen!$B$22:$B$29,0))/MAX($I60,15))^INDEX(08_Annahmen!$E$22:$E$29,MATCH($H60,08_Annahmen!$B$22:$B$29,0))</f>
        <v>1.0824323212053</v>
      </c>
      <c r="L60" s="84" t="n">
        <f aca="false">INDEX(08_Annahmen!$C$22:$C$29,MATCH($H60,08_Annahmen!$B$22:$B$29,0))*$K60*(1+INDEX(08_Annahmen!$F$22:$F$29,MATCH($H60,08_Annahmen!$B$22:$B$29,0)))*(1+08_Annahmen!$C$9)*(1+08_Annahmen!$C$14)*IF($J60="ja",08_Annahmen!$C$12,1)</f>
        <v>363.715444787978</v>
      </c>
      <c r="M60" s="32" t="n">
        <f aca="false">$L60*$I60</f>
        <v>28170.306771996</v>
      </c>
      <c r="N60" s="32" t="n">
        <f aca="false">$M60/12</f>
        <v>2347.525564333</v>
      </c>
    </row>
    <row r="61" customFormat="false" ht="15" hidden="false" customHeight="false" outlineLevel="0" collapsed="false">
      <c r="B61" s="29" t="n">
        <v>55</v>
      </c>
      <c r="C61" s="29" t="s">
        <v>236</v>
      </c>
      <c r="D61" s="29" t="s">
        <v>97</v>
      </c>
      <c r="E61" s="29" t="s">
        <v>139</v>
      </c>
      <c r="F61" s="29" t="s">
        <v>106</v>
      </c>
      <c r="G61" s="29" t="s">
        <v>496</v>
      </c>
      <c r="H61" s="29" t="s">
        <v>196</v>
      </c>
      <c r="I61" s="39" t="n">
        <v>77.4515</v>
      </c>
      <c r="J61" s="29" t="s">
        <v>493</v>
      </c>
      <c r="K61" s="83" t="n">
        <f aca="false">(INDEX(08_Annahmen!$D$22:$D$29,MATCH($H61,08_Annahmen!$B$22:$B$29,0))/MAX($I61,15))^INDEX(08_Annahmen!$E$22:$E$29,MATCH($H61,08_Annahmen!$B$22:$B$29,0))</f>
        <v>1.0824323212053</v>
      </c>
      <c r="L61" s="84" t="n">
        <f aca="false">INDEX(08_Annahmen!$C$22:$C$29,MATCH($H61,08_Annahmen!$B$22:$B$29,0))*$K61*(1+INDEX(08_Annahmen!$F$22:$F$29,MATCH($H61,08_Annahmen!$B$22:$B$29,0)))*(1+08_Annahmen!$C$9)*(1+08_Annahmen!$C$14)*IF($J61="ja",08_Annahmen!$C$12,1)</f>
        <v>363.715444787978</v>
      </c>
      <c r="M61" s="32" t="n">
        <f aca="false">$L61*$I61</f>
        <v>28170.306771996</v>
      </c>
      <c r="N61" s="32" t="n">
        <f aca="false">$M61/12</f>
        <v>2347.525564333</v>
      </c>
    </row>
    <row r="62" customFormat="false" ht="15" hidden="false" customHeight="false" outlineLevel="0" collapsed="false">
      <c r="B62" s="29" t="n">
        <v>56</v>
      </c>
      <c r="C62" s="29" t="s">
        <v>236</v>
      </c>
      <c r="D62" s="29" t="s">
        <v>97</v>
      </c>
      <c r="E62" s="29" t="s">
        <v>139</v>
      </c>
      <c r="F62" s="29" t="s">
        <v>106</v>
      </c>
      <c r="G62" s="29" t="s">
        <v>496</v>
      </c>
      <c r="H62" s="29" t="s">
        <v>196</v>
      </c>
      <c r="I62" s="39" t="n">
        <v>77.4515</v>
      </c>
      <c r="J62" s="29" t="s">
        <v>493</v>
      </c>
      <c r="K62" s="83" t="n">
        <f aca="false">(INDEX(08_Annahmen!$D$22:$D$29,MATCH($H62,08_Annahmen!$B$22:$B$29,0))/MAX($I62,15))^INDEX(08_Annahmen!$E$22:$E$29,MATCH($H62,08_Annahmen!$B$22:$B$29,0))</f>
        <v>1.0824323212053</v>
      </c>
      <c r="L62" s="84" t="n">
        <f aca="false">INDEX(08_Annahmen!$C$22:$C$29,MATCH($H62,08_Annahmen!$B$22:$B$29,0))*$K62*(1+INDEX(08_Annahmen!$F$22:$F$29,MATCH($H62,08_Annahmen!$B$22:$B$29,0)))*(1+08_Annahmen!$C$9)*(1+08_Annahmen!$C$14)*IF($J62="ja",08_Annahmen!$C$12,1)</f>
        <v>363.715444787978</v>
      </c>
      <c r="M62" s="32" t="n">
        <f aca="false">$L62*$I62</f>
        <v>28170.306771996</v>
      </c>
      <c r="N62" s="32" t="n">
        <f aca="false">$M62/12</f>
        <v>2347.525564333</v>
      </c>
    </row>
    <row r="63" customFormat="false" ht="15" hidden="false" customHeight="false" outlineLevel="0" collapsed="false">
      <c r="B63" s="29" t="n">
        <v>57</v>
      </c>
      <c r="C63" s="29" t="s">
        <v>236</v>
      </c>
      <c r="D63" s="29" t="s">
        <v>97</v>
      </c>
      <c r="E63" s="29" t="s">
        <v>139</v>
      </c>
      <c r="F63" s="29" t="s">
        <v>106</v>
      </c>
      <c r="G63" s="29" t="s">
        <v>496</v>
      </c>
      <c r="H63" s="29" t="s">
        <v>196</v>
      </c>
      <c r="I63" s="39" t="n">
        <v>77.4515</v>
      </c>
      <c r="J63" s="29" t="s">
        <v>493</v>
      </c>
      <c r="K63" s="83" t="n">
        <f aca="false">(INDEX(08_Annahmen!$D$22:$D$29,MATCH($H63,08_Annahmen!$B$22:$B$29,0))/MAX($I63,15))^INDEX(08_Annahmen!$E$22:$E$29,MATCH($H63,08_Annahmen!$B$22:$B$29,0))</f>
        <v>1.0824323212053</v>
      </c>
      <c r="L63" s="84" t="n">
        <f aca="false">INDEX(08_Annahmen!$C$22:$C$29,MATCH($H63,08_Annahmen!$B$22:$B$29,0))*$K63*(1+INDEX(08_Annahmen!$F$22:$F$29,MATCH($H63,08_Annahmen!$B$22:$B$29,0)))*(1+08_Annahmen!$C$9)*(1+08_Annahmen!$C$14)*IF($J63="ja",08_Annahmen!$C$12,1)</f>
        <v>363.715444787978</v>
      </c>
      <c r="M63" s="32" t="n">
        <f aca="false">$L63*$I63</f>
        <v>28170.306771996</v>
      </c>
      <c r="N63" s="32" t="n">
        <f aca="false">$M63/12</f>
        <v>2347.525564333</v>
      </c>
    </row>
    <row r="64" customFormat="false" ht="15" hidden="false" customHeight="false" outlineLevel="0" collapsed="false">
      <c r="B64" s="29" t="n">
        <v>58</v>
      </c>
      <c r="C64" s="29" t="s">
        <v>236</v>
      </c>
      <c r="D64" s="29" t="s">
        <v>97</v>
      </c>
      <c r="E64" s="29" t="s">
        <v>139</v>
      </c>
      <c r="F64" s="29" t="s">
        <v>106</v>
      </c>
      <c r="G64" s="29" t="s">
        <v>496</v>
      </c>
      <c r="H64" s="29" t="s">
        <v>196</v>
      </c>
      <c r="I64" s="39" t="n">
        <v>77.4515</v>
      </c>
      <c r="J64" s="29" t="s">
        <v>493</v>
      </c>
      <c r="K64" s="83" t="n">
        <f aca="false">(INDEX(08_Annahmen!$D$22:$D$29,MATCH($H64,08_Annahmen!$B$22:$B$29,0))/MAX($I64,15))^INDEX(08_Annahmen!$E$22:$E$29,MATCH($H64,08_Annahmen!$B$22:$B$29,0))</f>
        <v>1.0824323212053</v>
      </c>
      <c r="L64" s="84" t="n">
        <f aca="false">INDEX(08_Annahmen!$C$22:$C$29,MATCH($H64,08_Annahmen!$B$22:$B$29,0))*$K64*(1+INDEX(08_Annahmen!$F$22:$F$29,MATCH($H64,08_Annahmen!$B$22:$B$29,0)))*(1+08_Annahmen!$C$9)*(1+08_Annahmen!$C$14)*IF($J64="ja",08_Annahmen!$C$12,1)</f>
        <v>363.715444787978</v>
      </c>
      <c r="M64" s="32" t="n">
        <f aca="false">$L64*$I64</f>
        <v>28170.306771996</v>
      </c>
      <c r="N64" s="32" t="n">
        <f aca="false">$M64/12</f>
        <v>2347.525564333</v>
      </c>
    </row>
    <row r="65" customFormat="false" ht="15" hidden="false" customHeight="false" outlineLevel="0" collapsed="false">
      <c r="B65" s="29" t="n">
        <v>59</v>
      </c>
      <c r="C65" s="29" t="s">
        <v>236</v>
      </c>
      <c r="D65" s="29" t="s">
        <v>97</v>
      </c>
      <c r="E65" s="29" t="s">
        <v>139</v>
      </c>
      <c r="F65" s="29" t="s">
        <v>106</v>
      </c>
      <c r="G65" s="29" t="s">
        <v>496</v>
      </c>
      <c r="H65" s="29" t="s">
        <v>196</v>
      </c>
      <c r="I65" s="39" t="n">
        <v>77.4515</v>
      </c>
      <c r="J65" s="29" t="s">
        <v>493</v>
      </c>
      <c r="K65" s="83" t="n">
        <f aca="false">(INDEX(08_Annahmen!$D$22:$D$29,MATCH($H65,08_Annahmen!$B$22:$B$29,0))/MAX($I65,15))^INDEX(08_Annahmen!$E$22:$E$29,MATCH($H65,08_Annahmen!$B$22:$B$29,0))</f>
        <v>1.0824323212053</v>
      </c>
      <c r="L65" s="84" t="n">
        <f aca="false">INDEX(08_Annahmen!$C$22:$C$29,MATCH($H65,08_Annahmen!$B$22:$B$29,0))*$K65*(1+INDEX(08_Annahmen!$F$22:$F$29,MATCH($H65,08_Annahmen!$B$22:$B$29,0)))*(1+08_Annahmen!$C$9)*(1+08_Annahmen!$C$14)*IF($J65="ja",08_Annahmen!$C$12,1)</f>
        <v>363.715444787978</v>
      </c>
      <c r="M65" s="32" t="n">
        <f aca="false">$L65*$I65</f>
        <v>28170.306771996</v>
      </c>
      <c r="N65" s="32" t="n">
        <f aca="false">$M65/12</f>
        <v>2347.525564333</v>
      </c>
    </row>
    <row r="66" customFormat="false" ht="15" hidden="false" customHeight="false" outlineLevel="0" collapsed="false">
      <c r="B66" s="29" t="n">
        <v>60</v>
      </c>
      <c r="C66" s="29" t="s">
        <v>236</v>
      </c>
      <c r="D66" s="29" t="s">
        <v>97</v>
      </c>
      <c r="E66" s="29" t="s">
        <v>139</v>
      </c>
      <c r="F66" s="29" t="s">
        <v>106</v>
      </c>
      <c r="G66" s="29" t="s">
        <v>496</v>
      </c>
      <c r="H66" s="29" t="s">
        <v>196</v>
      </c>
      <c r="I66" s="39" t="n">
        <v>77.4515</v>
      </c>
      <c r="J66" s="29" t="s">
        <v>493</v>
      </c>
      <c r="K66" s="83" t="n">
        <f aca="false">(INDEX(08_Annahmen!$D$22:$D$29,MATCH($H66,08_Annahmen!$B$22:$B$29,0))/MAX($I66,15))^INDEX(08_Annahmen!$E$22:$E$29,MATCH($H66,08_Annahmen!$B$22:$B$29,0))</f>
        <v>1.0824323212053</v>
      </c>
      <c r="L66" s="84" t="n">
        <f aca="false">INDEX(08_Annahmen!$C$22:$C$29,MATCH($H66,08_Annahmen!$B$22:$B$29,0))*$K66*(1+INDEX(08_Annahmen!$F$22:$F$29,MATCH($H66,08_Annahmen!$B$22:$B$29,0)))*(1+08_Annahmen!$C$9)*(1+08_Annahmen!$C$14)*IF($J66="ja",08_Annahmen!$C$12,1)</f>
        <v>363.715444787978</v>
      </c>
      <c r="M66" s="32" t="n">
        <f aca="false">$L66*$I66</f>
        <v>28170.306771996</v>
      </c>
      <c r="N66" s="32" t="n">
        <f aca="false">$M66/12</f>
        <v>2347.525564333</v>
      </c>
    </row>
    <row r="67" customFormat="false" ht="15" hidden="false" customHeight="false" outlineLevel="0" collapsed="false">
      <c r="B67" s="29" t="n">
        <v>61</v>
      </c>
      <c r="C67" s="29" t="s">
        <v>236</v>
      </c>
      <c r="D67" s="29" t="s">
        <v>97</v>
      </c>
      <c r="E67" s="29" t="s">
        <v>139</v>
      </c>
      <c r="F67" s="29" t="s">
        <v>106</v>
      </c>
      <c r="G67" s="29" t="s">
        <v>496</v>
      </c>
      <c r="H67" s="29" t="s">
        <v>196</v>
      </c>
      <c r="I67" s="39" t="n">
        <v>77.4515</v>
      </c>
      <c r="J67" s="29" t="s">
        <v>493</v>
      </c>
      <c r="K67" s="83" t="n">
        <f aca="false">(INDEX(08_Annahmen!$D$22:$D$29,MATCH($H67,08_Annahmen!$B$22:$B$29,0))/MAX($I67,15))^INDEX(08_Annahmen!$E$22:$E$29,MATCH($H67,08_Annahmen!$B$22:$B$29,0))</f>
        <v>1.0824323212053</v>
      </c>
      <c r="L67" s="84" t="n">
        <f aca="false">INDEX(08_Annahmen!$C$22:$C$29,MATCH($H67,08_Annahmen!$B$22:$B$29,0))*$K67*(1+INDEX(08_Annahmen!$F$22:$F$29,MATCH($H67,08_Annahmen!$B$22:$B$29,0)))*(1+08_Annahmen!$C$9)*(1+08_Annahmen!$C$14)*IF($J67="ja",08_Annahmen!$C$12,1)</f>
        <v>363.715444787978</v>
      </c>
      <c r="M67" s="32" t="n">
        <f aca="false">$L67*$I67</f>
        <v>28170.306771996</v>
      </c>
      <c r="N67" s="32" t="n">
        <f aca="false">$M67/12</f>
        <v>2347.525564333</v>
      </c>
    </row>
    <row r="68" customFormat="false" ht="15" hidden="false" customHeight="false" outlineLevel="0" collapsed="false">
      <c r="B68" s="29" t="n">
        <v>62</v>
      </c>
      <c r="C68" s="29" t="s">
        <v>236</v>
      </c>
      <c r="D68" s="29" t="s">
        <v>97</v>
      </c>
      <c r="E68" s="29" t="s">
        <v>139</v>
      </c>
      <c r="F68" s="29" t="s">
        <v>106</v>
      </c>
      <c r="G68" s="29" t="s">
        <v>496</v>
      </c>
      <c r="H68" s="29" t="s">
        <v>196</v>
      </c>
      <c r="I68" s="39" t="n">
        <v>77.4515</v>
      </c>
      <c r="J68" s="29" t="s">
        <v>493</v>
      </c>
      <c r="K68" s="83" t="n">
        <f aca="false">(INDEX(08_Annahmen!$D$22:$D$29,MATCH($H68,08_Annahmen!$B$22:$B$29,0))/MAX($I68,15))^INDEX(08_Annahmen!$E$22:$E$29,MATCH($H68,08_Annahmen!$B$22:$B$29,0))</f>
        <v>1.0824323212053</v>
      </c>
      <c r="L68" s="84" t="n">
        <f aca="false">INDEX(08_Annahmen!$C$22:$C$29,MATCH($H68,08_Annahmen!$B$22:$B$29,0))*$K68*(1+INDEX(08_Annahmen!$F$22:$F$29,MATCH($H68,08_Annahmen!$B$22:$B$29,0)))*(1+08_Annahmen!$C$9)*(1+08_Annahmen!$C$14)*IF($J68="ja",08_Annahmen!$C$12,1)</f>
        <v>363.715444787978</v>
      </c>
      <c r="M68" s="32" t="n">
        <f aca="false">$L68*$I68</f>
        <v>28170.306771996</v>
      </c>
      <c r="N68" s="32" t="n">
        <f aca="false">$M68/12</f>
        <v>2347.525564333</v>
      </c>
    </row>
    <row r="69" customFormat="false" ht="15" hidden="false" customHeight="false" outlineLevel="0" collapsed="false">
      <c r="B69" s="29" t="n">
        <v>63</v>
      </c>
      <c r="C69" s="29" t="s">
        <v>236</v>
      </c>
      <c r="D69" s="29" t="s">
        <v>97</v>
      </c>
      <c r="E69" s="29" t="s">
        <v>139</v>
      </c>
      <c r="F69" s="29" t="s">
        <v>106</v>
      </c>
      <c r="G69" s="29" t="s">
        <v>496</v>
      </c>
      <c r="H69" s="29" t="s">
        <v>196</v>
      </c>
      <c r="I69" s="39" t="n">
        <v>77.4515</v>
      </c>
      <c r="J69" s="29" t="s">
        <v>493</v>
      </c>
      <c r="K69" s="83" t="n">
        <f aca="false">(INDEX(08_Annahmen!$D$22:$D$29,MATCH($H69,08_Annahmen!$B$22:$B$29,0))/MAX($I69,15))^INDEX(08_Annahmen!$E$22:$E$29,MATCH($H69,08_Annahmen!$B$22:$B$29,0))</f>
        <v>1.0824323212053</v>
      </c>
      <c r="L69" s="84" t="n">
        <f aca="false">INDEX(08_Annahmen!$C$22:$C$29,MATCH($H69,08_Annahmen!$B$22:$B$29,0))*$K69*(1+INDEX(08_Annahmen!$F$22:$F$29,MATCH($H69,08_Annahmen!$B$22:$B$29,0)))*(1+08_Annahmen!$C$9)*(1+08_Annahmen!$C$14)*IF($J69="ja",08_Annahmen!$C$12,1)</f>
        <v>363.715444787978</v>
      </c>
      <c r="M69" s="32" t="n">
        <f aca="false">$L69*$I69</f>
        <v>28170.306771996</v>
      </c>
      <c r="N69" s="32" t="n">
        <f aca="false">$M69/12</f>
        <v>2347.525564333</v>
      </c>
    </row>
    <row r="70" customFormat="false" ht="15" hidden="false" customHeight="false" outlineLevel="0" collapsed="false">
      <c r="B70" s="29" t="n">
        <v>64</v>
      </c>
      <c r="C70" s="29" t="s">
        <v>236</v>
      </c>
      <c r="D70" s="29" t="s">
        <v>97</v>
      </c>
      <c r="E70" s="29" t="s">
        <v>139</v>
      </c>
      <c r="F70" s="29" t="s">
        <v>106</v>
      </c>
      <c r="G70" s="29" t="s">
        <v>496</v>
      </c>
      <c r="H70" s="29" t="s">
        <v>196</v>
      </c>
      <c r="I70" s="39" t="n">
        <v>77.4515</v>
      </c>
      <c r="J70" s="29" t="s">
        <v>493</v>
      </c>
      <c r="K70" s="83" t="n">
        <f aca="false">(INDEX(08_Annahmen!$D$22:$D$29,MATCH($H70,08_Annahmen!$B$22:$B$29,0))/MAX($I70,15))^INDEX(08_Annahmen!$E$22:$E$29,MATCH($H70,08_Annahmen!$B$22:$B$29,0))</f>
        <v>1.0824323212053</v>
      </c>
      <c r="L70" s="84" t="n">
        <f aca="false">INDEX(08_Annahmen!$C$22:$C$29,MATCH($H70,08_Annahmen!$B$22:$B$29,0))*$K70*(1+INDEX(08_Annahmen!$F$22:$F$29,MATCH($H70,08_Annahmen!$B$22:$B$29,0)))*(1+08_Annahmen!$C$9)*(1+08_Annahmen!$C$14)*IF($J70="ja",08_Annahmen!$C$12,1)</f>
        <v>363.715444787978</v>
      </c>
      <c r="M70" s="32" t="n">
        <f aca="false">$L70*$I70</f>
        <v>28170.306771996</v>
      </c>
      <c r="N70" s="32" t="n">
        <f aca="false">$M70/12</f>
        <v>2347.525564333</v>
      </c>
    </row>
    <row r="71" customFormat="false" ht="15" hidden="false" customHeight="false" outlineLevel="0" collapsed="false">
      <c r="B71" s="29" t="n">
        <v>65</v>
      </c>
      <c r="C71" s="29" t="s">
        <v>236</v>
      </c>
      <c r="D71" s="29" t="s">
        <v>97</v>
      </c>
      <c r="E71" s="29" t="s">
        <v>142</v>
      </c>
      <c r="F71" s="29" t="s">
        <v>106</v>
      </c>
      <c r="G71" s="29" t="s">
        <v>140</v>
      </c>
      <c r="H71" s="29" t="s">
        <v>196</v>
      </c>
      <c r="I71" s="39" t="n">
        <v>24.95</v>
      </c>
      <c r="J71" s="29" t="s">
        <v>493</v>
      </c>
      <c r="K71" s="83" t="n">
        <f aca="false">(INDEX(08_Annahmen!$D$22:$D$29,MATCH($H71,08_Annahmen!$B$22:$B$29,0))/MAX($I71,15))^INDEX(08_Annahmen!$E$22:$E$29,MATCH($H71,08_Annahmen!$B$22:$B$29,0))</f>
        <v>1.53782929407593</v>
      </c>
      <c r="L71" s="84" t="n">
        <f aca="false">INDEX(08_Annahmen!$C$22:$C$29,MATCH($H71,08_Annahmen!$B$22:$B$29,0))*$K71*(1+INDEX(08_Annahmen!$F$22:$F$29,MATCH($H71,08_Annahmen!$B$22:$B$29,0)))*(1+08_Annahmen!$C$9)*(1+08_Annahmen!$C$14)*IF($J71="ja",08_Annahmen!$C$12,1)</f>
        <v>516.736478341651</v>
      </c>
      <c r="M71" s="32" t="n">
        <f aca="false">$L71*$I71</f>
        <v>12892.5751346242</v>
      </c>
      <c r="N71" s="32" t="n">
        <f aca="false">$M71/12</f>
        <v>1074.38126121868</v>
      </c>
    </row>
    <row r="72" customFormat="false" ht="15" hidden="false" customHeight="false" outlineLevel="0" collapsed="false">
      <c r="B72" s="29" t="n">
        <v>66</v>
      </c>
      <c r="C72" s="29" t="s">
        <v>236</v>
      </c>
      <c r="D72" s="29" t="s">
        <v>97</v>
      </c>
      <c r="E72" s="29" t="s">
        <v>142</v>
      </c>
      <c r="F72" s="29" t="s">
        <v>106</v>
      </c>
      <c r="G72" s="29" t="s">
        <v>140</v>
      </c>
      <c r="H72" s="29" t="s">
        <v>196</v>
      </c>
      <c r="I72" s="39" t="n">
        <v>24.95</v>
      </c>
      <c r="J72" s="29" t="s">
        <v>493</v>
      </c>
      <c r="K72" s="83" t="n">
        <f aca="false">(INDEX(08_Annahmen!$D$22:$D$29,MATCH($H72,08_Annahmen!$B$22:$B$29,0))/MAX($I72,15))^INDEX(08_Annahmen!$E$22:$E$29,MATCH($H72,08_Annahmen!$B$22:$B$29,0))</f>
        <v>1.53782929407593</v>
      </c>
      <c r="L72" s="84" t="n">
        <f aca="false">INDEX(08_Annahmen!$C$22:$C$29,MATCH($H72,08_Annahmen!$B$22:$B$29,0))*$K72*(1+INDEX(08_Annahmen!$F$22:$F$29,MATCH($H72,08_Annahmen!$B$22:$B$29,0)))*(1+08_Annahmen!$C$9)*(1+08_Annahmen!$C$14)*IF($J72="ja",08_Annahmen!$C$12,1)</f>
        <v>516.736478341651</v>
      </c>
      <c r="M72" s="32" t="n">
        <f aca="false">$L72*$I72</f>
        <v>12892.5751346242</v>
      </c>
      <c r="N72" s="32" t="n">
        <f aca="false">$M72/12</f>
        <v>1074.38126121868</v>
      </c>
    </row>
    <row r="73" customFormat="false" ht="15" hidden="false" customHeight="false" outlineLevel="0" collapsed="false">
      <c r="B73" s="29" t="n">
        <v>67</v>
      </c>
      <c r="C73" s="29" t="s">
        <v>236</v>
      </c>
      <c r="D73" s="29" t="s">
        <v>97</v>
      </c>
      <c r="E73" s="29" t="s">
        <v>142</v>
      </c>
      <c r="F73" s="29" t="s">
        <v>106</v>
      </c>
      <c r="G73" s="29" t="s">
        <v>140</v>
      </c>
      <c r="H73" s="29" t="s">
        <v>196</v>
      </c>
      <c r="I73" s="39" t="n">
        <v>24.95</v>
      </c>
      <c r="J73" s="29" t="s">
        <v>493</v>
      </c>
      <c r="K73" s="83" t="n">
        <f aca="false">(INDEX(08_Annahmen!$D$22:$D$29,MATCH($H73,08_Annahmen!$B$22:$B$29,0))/MAX($I73,15))^INDEX(08_Annahmen!$E$22:$E$29,MATCH($H73,08_Annahmen!$B$22:$B$29,0))</f>
        <v>1.53782929407593</v>
      </c>
      <c r="L73" s="84" t="n">
        <f aca="false">INDEX(08_Annahmen!$C$22:$C$29,MATCH($H73,08_Annahmen!$B$22:$B$29,0))*$K73*(1+INDEX(08_Annahmen!$F$22:$F$29,MATCH($H73,08_Annahmen!$B$22:$B$29,0)))*(1+08_Annahmen!$C$9)*(1+08_Annahmen!$C$14)*IF($J73="ja",08_Annahmen!$C$12,1)</f>
        <v>516.736478341651</v>
      </c>
      <c r="M73" s="32" t="n">
        <f aca="false">$L73*$I73</f>
        <v>12892.5751346242</v>
      </c>
      <c r="N73" s="32" t="n">
        <f aca="false">$M73/12</f>
        <v>1074.38126121868</v>
      </c>
    </row>
    <row r="74" customFormat="false" ht="15" hidden="false" customHeight="false" outlineLevel="0" collapsed="false">
      <c r="B74" s="29" t="n">
        <v>68</v>
      </c>
      <c r="C74" s="29" t="s">
        <v>236</v>
      </c>
      <c r="D74" s="29" t="s">
        <v>97</v>
      </c>
      <c r="E74" s="29" t="s">
        <v>142</v>
      </c>
      <c r="F74" s="29" t="s">
        <v>106</v>
      </c>
      <c r="G74" s="29" t="s">
        <v>140</v>
      </c>
      <c r="H74" s="29" t="s">
        <v>196</v>
      </c>
      <c r="I74" s="39" t="n">
        <v>24.95</v>
      </c>
      <c r="J74" s="29" t="s">
        <v>493</v>
      </c>
      <c r="K74" s="83" t="n">
        <f aca="false">(INDEX(08_Annahmen!$D$22:$D$29,MATCH($H74,08_Annahmen!$B$22:$B$29,0))/MAX($I74,15))^INDEX(08_Annahmen!$E$22:$E$29,MATCH($H74,08_Annahmen!$B$22:$B$29,0))</f>
        <v>1.53782929407593</v>
      </c>
      <c r="L74" s="84" t="n">
        <f aca="false">INDEX(08_Annahmen!$C$22:$C$29,MATCH($H74,08_Annahmen!$B$22:$B$29,0))*$K74*(1+INDEX(08_Annahmen!$F$22:$F$29,MATCH($H74,08_Annahmen!$B$22:$B$29,0)))*(1+08_Annahmen!$C$9)*(1+08_Annahmen!$C$14)*IF($J74="ja",08_Annahmen!$C$12,1)</f>
        <v>516.736478341651</v>
      </c>
      <c r="M74" s="32" t="n">
        <f aca="false">$L74*$I74</f>
        <v>12892.5751346242</v>
      </c>
      <c r="N74" s="32" t="n">
        <f aca="false">$M74/12</f>
        <v>1074.38126121868</v>
      </c>
    </row>
    <row r="75" customFormat="false" ht="15" hidden="false" customHeight="false" outlineLevel="0" collapsed="false">
      <c r="B75" s="29" t="n">
        <v>69</v>
      </c>
      <c r="C75" s="29" t="s">
        <v>236</v>
      </c>
      <c r="D75" s="29" t="s">
        <v>97</v>
      </c>
      <c r="E75" s="29" t="s">
        <v>142</v>
      </c>
      <c r="F75" s="29" t="s">
        <v>106</v>
      </c>
      <c r="G75" s="29" t="s">
        <v>140</v>
      </c>
      <c r="H75" s="29" t="s">
        <v>196</v>
      </c>
      <c r="I75" s="39" t="n">
        <v>24.95</v>
      </c>
      <c r="J75" s="29" t="s">
        <v>493</v>
      </c>
      <c r="K75" s="83" t="n">
        <f aca="false">(INDEX(08_Annahmen!$D$22:$D$29,MATCH($H75,08_Annahmen!$B$22:$B$29,0))/MAX($I75,15))^INDEX(08_Annahmen!$E$22:$E$29,MATCH($H75,08_Annahmen!$B$22:$B$29,0))</f>
        <v>1.53782929407593</v>
      </c>
      <c r="L75" s="84" t="n">
        <f aca="false">INDEX(08_Annahmen!$C$22:$C$29,MATCH($H75,08_Annahmen!$B$22:$B$29,0))*$K75*(1+INDEX(08_Annahmen!$F$22:$F$29,MATCH($H75,08_Annahmen!$B$22:$B$29,0)))*(1+08_Annahmen!$C$9)*(1+08_Annahmen!$C$14)*IF($J75="ja",08_Annahmen!$C$12,1)</f>
        <v>516.736478341651</v>
      </c>
      <c r="M75" s="32" t="n">
        <f aca="false">$L75*$I75</f>
        <v>12892.5751346242</v>
      </c>
      <c r="N75" s="32" t="n">
        <f aca="false">$M75/12</f>
        <v>1074.38126121868</v>
      </c>
    </row>
    <row r="76" customFormat="false" ht="15" hidden="false" customHeight="false" outlineLevel="0" collapsed="false">
      <c r="B76" s="29" t="n">
        <v>70</v>
      </c>
      <c r="C76" s="29" t="s">
        <v>236</v>
      </c>
      <c r="D76" s="29" t="s">
        <v>97</v>
      </c>
      <c r="E76" s="29" t="s">
        <v>142</v>
      </c>
      <c r="F76" s="29" t="s">
        <v>106</v>
      </c>
      <c r="G76" s="29" t="s">
        <v>140</v>
      </c>
      <c r="H76" s="29" t="s">
        <v>196</v>
      </c>
      <c r="I76" s="39" t="n">
        <v>24.95</v>
      </c>
      <c r="J76" s="29" t="s">
        <v>493</v>
      </c>
      <c r="K76" s="83" t="n">
        <f aca="false">(INDEX(08_Annahmen!$D$22:$D$29,MATCH($H76,08_Annahmen!$B$22:$B$29,0))/MAX($I76,15))^INDEX(08_Annahmen!$E$22:$E$29,MATCH($H76,08_Annahmen!$B$22:$B$29,0))</f>
        <v>1.53782929407593</v>
      </c>
      <c r="L76" s="84" t="n">
        <f aca="false">INDEX(08_Annahmen!$C$22:$C$29,MATCH($H76,08_Annahmen!$B$22:$B$29,0))*$K76*(1+INDEX(08_Annahmen!$F$22:$F$29,MATCH($H76,08_Annahmen!$B$22:$B$29,0)))*(1+08_Annahmen!$C$9)*(1+08_Annahmen!$C$14)*IF($J76="ja",08_Annahmen!$C$12,1)</f>
        <v>516.736478341651</v>
      </c>
      <c r="M76" s="32" t="n">
        <f aca="false">$L76*$I76</f>
        <v>12892.5751346242</v>
      </c>
      <c r="N76" s="32" t="n">
        <f aca="false">$M76/12</f>
        <v>1074.38126121868</v>
      </c>
    </row>
    <row r="77" customFormat="false" ht="15" hidden="false" customHeight="false" outlineLevel="0" collapsed="false">
      <c r="B77" s="29" t="n">
        <v>71</v>
      </c>
      <c r="C77" s="29" t="s">
        <v>236</v>
      </c>
      <c r="D77" s="29" t="s">
        <v>97</v>
      </c>
      <c r="E77" s="29" t="s">
        <v>142</v>
      </c>
      <c r="F77" s="29" t="s">
        <v>106</v>
      </c>
      <c r="G77" s="29" t="s">
        <v>140</v>
      </c>
      <c r="H77" s="29" t="s">
        <v>196</v>
      </c>
      <c r="I77" s="39" t="n">
        <v>24.95</v>
      </c>
      <c r="J77" s="29" t="s">
        <v>493</v>
      </c>
      <c r="K77" s="83" t="n">
        <f aca="false">(INDEX(08_Annahmen!$D$22:$D$29,MATCH($H77,08_Annahmen!$B$22:$B$29,0))/MAX($I77,15))^INDEX(08_Annahmen!$E$22:$E$29,MATCH($H77,08_Annahmen!$B$22:$B$29,0))</f>
        <v>1.53782929407593</v>
      </c>
      <c r="L77" s="84" t="n">
        <f aca="false">INDEX(08_Annahmen!$C$22:$C$29,MATCH($H77,08_Annahmen!$B$22:$B$29,0))*$K77*(1+INDEX(08_Annahmen!$F$22:$F$29,MATCH($H77,08_Annahmen!$B$22:$B$29,0)))*(1+08_Annahmen!$C$9)*(1+08_Annahmen!$C$14)*IF($J77="ja",08_Annahmen!$C$12,1)</f>
        <v>516.736478341651</v>
      </c>
      <c r="M77" s="32" t="n">
        <f aca="false">$L77*$I77</f>
        <v>12892.5751346242</v>
      </c>
      <c r="N77" s="32" t="n">
        <f aca="false">$M77/12</f>
        <v>1074.38126121868</v>
      </c>
    </row>
    <row r="78" customFormat="false" ht="15" hidden="false" customHeight="false" outlineLevel="0" collapsed="false">
      <c r="B78" s="29" t="n">
        <v>72</v>
      </c>
      <c r="C78" s="29" t="s">
        <v>236</v>
      </c>
      <c r="D78" s="29" t="s">
        <v>97</v>
      </c>
      <c r="E78" s="29" t="s">
        <v>142</v>
      </c>
      <c r="F78" s="29" t="s">
        <v>106</v>
      </c>
      <c r="G78" s="29" t="s">
        <v>140</v>
      </c>
      <c r="H78" s="29" t="s">
        <v>196</v>
      </c>
      <c r="I78" s="39" t="n">
        <v>24.95</v>
      </c>
      <c r="J78" s="29" t="s">
        <v>493</v>
      </c>
      <c r="K78" s="83" t="n">
        <f aca="false">(INDEX(08_Annahmen!$D$22:$D$29,MATCH($H78,08_Annahmen!$B$22:$B$29,0))/MAX($I78,15))^INDEX(08_Annahmen!$E$22:$E$29,MATCH($H78,08_Annahmen!$B$22:$B$29,0))</f>
        <v>1.53782929407593</v>
      </c>
      <c r="L78" s="84" t="n">
        <f aca="false">INDEX(08_Annahmen!$C$22:$C$29,MATCH($H78,08_Annahmen!$B$22:$B$29,0))*$K78*(1+INDEX(08_Annahmen!$F$22:$F$29,MATCH($H78,08_Annahmen!$B$22:$B$29,0)))*(1+08_Annahmen!$C$9)*(1+08_Annahmen!$C$14)*IF($J78="ja",08_Annahmen!$C$12,1)</f>
        <v>516.736478341651</v>
      </c>
      <c r="M78" s="32" t="n">
        <f aca="false">$L78*$I78</f>
        <v>12892.5751346242</v>
      </c>
      <c r="N78" s="32" t="n">
        <f aca="false">$M78/12</f>
        <v>1074.38126121868</v>
      </c>
    </row>
    <row r="79" customFormat="false" ht="15" hidden="false" customHeight="false" outlineLevel="0" collapsed="false">
      <c r="B79" s="29" t="n">
        <v>73</v>
      </c>
      <c r="C79" s="29" t="s">
        <v>236</v>
      </c>
      <c r="D79" s="29" t="s">
        <v>97</v>
      </c>
      <c r="E79" s="29" t="s">
        <v>142</v>
      </c>
      <c r="F79" s="29" t="s">
        <v>106</v>
      </c>
      <c r="G79" s="29" t="s">
        <v>140</v>
      </c>
      <c r="H79" s="29" t="s">
        <v>196</v>
      </c>
      <c r="I79" s="39" t="n">
        <v>24.95</v>
      </c>
      <c r="J79" s="29" t="s">
        <v>493</v>
      </c>
      <c r="K79" s="83" t="n">
        <f aca="false">(INDEX(08_Annahmen!$D$22:$D$29,MATCH($H79,08_Annahmen!$B$22:$B$29,0))/MAX($I79,15))^INDEX(08_Annahmen!$E$22:$E$29,MATCH($H79,08_Annahmen!$B$22:$B$29,0))</f>
        <v>1.53782929407593</v>
      </c>
      <c r="L79" s="84" t="n">
        <f aca="false">INDEX(08_Annahmen!$C$22:$C$29,MATCH($H79,08_Annahmen!$B$22:$B$29,0))*$K79*(1+INDEX(08_Annahmen!$F$22:$F$29,MATCH($H79,08_Annahmen!$B$22:$B$29,0)))*(1+08_Annahmen!$C$9)*(1+08_Annahmen!$C$14)*IF($J79="ja",08_Annahmen!$C$12,1)</f>
        <v>516.736478341651</v>
      </c>
      <c r="M79" s="32" t="n">
        <f aca="false">$L79*$I79</f>
        <v>12892.5751346242</v>
      </c>
      <c r="N79" s="32" t="n">
        <f aca="false">$M79/12</f>
        <v>1074.38126121868</v>
      </c>
    </row>
    <row r="80" customFormat="false" ht="15" hidden="false" customHeight="false" outlineLevel="0" collapsed="false">
      <c r="B80" s="29" t="n">
        <v>74</v>
      </c>
      <c r="C80" s="29" t="s">
        <v>236</v>
      </c>
      <c r="D80" s="29" t="s">
        <v>97</v>
      </c>
      <c r="E80" s="29" t="s">
        <v>142</v>
      </c>
      <c r="F80" s="29" t="s">
        <v>106</v>
      </c>
      <c r="G80" s="29" t="s">
        <v>140</v>
      </c>
      <c r="H80" s="29" t="s">
        <v>196</v>
      </c>
      <c r="I80" s="39" t="n">
        <v>24.95</v>
      </c>
      <c r="J80" s="29" t="s">
        <v>493</v>
      </c>
      <c r="K80" s="83" t="n">
        <f aca="false">(INDEX(08_Annahmen!$D$22:$D$29,MATCH($H80,08_Annahmen!$B$22:$B$29,0))/MAX($I80,15))^INDEX(08_Annahmen!$E$22:$E$29,MATCH($H80,08_Annahmen!$B$22:$B$29,0))</f>
        <v>1.53782929407593</v>
      </c>
      <c r="L80" s="84" t="n">
        <f aca="false">INDEX(08_Annahmen!$C$22:$C$29,MATCH($H80,08_Annahmen!$B$22:$B$29,0))*$K80*(1+INDEX(08_Annahmen!$F$22:$F$29,MATCH($H80,08_Annahmen!$B$22:$B$29,0)))*(1+08_Annahmen!$C$9)*(1+08_Annahmen!$C$14)*IF($J80="ja",08_Annahmen!$C$12,1)</f>
        <v>516.736478341651</v>
      </c>
      <c r="M80" s="32" t="n">
        <f aca="false">$L80*$I80</f>
        <v>12892.5751346242</v>
      </c>
      <c r="N80" s="32" t="n">
        <f aca="false">$M80/12</f>
        <v>1074.38126121868</v>
      </c>
    </row>
    <row r="81" customFormat="false" ht="15" hidden="false" customHeight="false" outlineLevel="0" collapsed="false">
      <c r="B81" s="29" t="n">
        <v>75</v>
      </c>
      <c r="C81" s="29" t="s">
        <v>236</v>
      </c>
      <c r="D81" s="29" t="s">
        <v>97</v>
      </c>
      <c r="E81" s="29" t="s">
        <v>142</v>
      </c>
      <c r="F81" s="29" t="s">
        <v>106</v>
      </c>
      <c r="G81" s="29" t="s">
        <v>140</v>
      </c>
      <c r="H81" s="29" t="s">
        <v>196</v>
      </c>
      <c r="I81" s="39" t="n">
        <v>24.95</v>
      </c>
      <c r="J81" s="29" t="s">
        <v>493</v>
      </c>
      <c r="K81" s="83" t="n">
        <f aca="false">(INDEX(08_Annahmen!$D$22:$D$29,MATCH($H81,08_Annahmen!$B$22:$B$29,0))/MAX($I81,15))^INDEX(08_Annahmen!$E$22:$E$29,MATCH($H81,08_Annahmen!$B$22:$B$29,0))</f>
        <v>1.53782929407593</v>
      </c>
      <c r="L81" s="84" t="n">
        <f aca="false">INDEX(08_Annahmen!$C$22:$C$29,MATCH($H81,08_Annahmen!$B$22:$B$29,0))*$K81*(1+INDEX(08_Annahmen!$F$22:$F$29,MATCH($H81,08_Annahmen!$B$22:$B$29,0)))*(1+08_Annahmen!$C$9)*(1+08_Annahmen!$C$14)*IF($J81="ja",08_Annahmen!$C$12,1)</f>
        <v>516.736478341651</v>
      </c>
      <c r="M81" s="32" t="n">
        <f aca="false">$L81*$I81</f>
        <v>12892.5751346242</v>
      </c>
      <c r="N81" s="32" t="n">
        <f aca="false">$M81/12</f>
        <v>1074.38126121868</v>
      </c>
    </row>
    <row r="82" customFormat="false" ht="15" hidden="false" customHeight="false" outlineLevel="0" collapsed="false">
      <c r="B82" s="29" t="n">
        <v>76</v>
      </c>
      <c r="C82" s="29" t="s">
        <v>236</v>
      </c>
      <c r="D82" s="29" t="s">
        <v>97</v>
      </c>
      <c r="E82" s="29" t="s">
        <v>142</v>
      </c>
      <c r="F82" s="29" t="s">
        <v>106</v>
      </c>
      <c r="G82" s="29" t="s">
        <v>497</v>
      </c>
      <c r="H82" s="29" t="s">
        <v>196</v>
      </c>
      <c r="I82" s="39" t="n">
        <v>84.6667</v>
      </c>
      <c r="J82" s="29" t="s">
        <v>493</v>
      </c>
      <c r="K82" s="83" t="n">
        <f aca="false">(INDEX(08_Annahmen!$D$22:$D$29,MATCH($H82,08_Annahmen!$B$22:$B$29,0))/MAX($I82,15))^INDEX(08_Annahmen!$E$22:$E$29,MATCH($H82,08_Annahmen!$B$22:$B$29,0))</f>
        <v>1.05295323643297</v>
      </c>
      <c r="L82" s="84" t="n">
        <f aca="false">INDEX(08_Annahmen!$C$22:$C$29,MATCH($H82,08_Annahmen!$B$22:$B$29,0))*$K82*(1+INDEX(08_Annahmen!$F$22:$F$29,MATCH($H82,08_Annahmen!$B$22:$B$29,0)))*(1+08_Annahmen!$C$9)*(1+08_Annahmen!$C$14)*IF($J82="ja",08_Annahmen!$C$12,1)</f>
        <v>353.809977055849</v>
      </c>
      <c r="M82" s="32" t="n">
        <f aca="false">$L82*$I82</f>
        <v>29955.9231843944</v>
      </c>
      <c r="N82" s="32" t="n">
        <f aca="false">$M82/12</f>
        <v>2496.32693203287</v>
      </c>
    </row>
    <row r="83" customFormat="false" ht="15" hidden="false" customHeight="false" outlineLevel="0" collapsed="false">
      <c r="B83" s="29" t="n">
        <v>77</v>
      </c>
      <c r="C83" s="29" t="s">
        <v>236</v>
      </c>
      <c r="D83" s="29" t="s">
        <v>97</v>
      </c>
      <c r="E83" s="29" t="s">
        <v>142</v>
      </c>
      <c r="F83" s="29" t="s">
        <v>106</v>
      </c>
      <c r="G83" s="29" t="s">
        <v>497</v>
      </c>
      <c r="H83" s="29" t="s">
        <v>196</v>
      </c>
      <c r="I83" s="39" t="n">
        <v>84.6667</v>
      </c>
      <c r="J83" s="29" t="s">
        <v>493</v>
      </c>
      <c r="K83" s="83" t="n">
        <f aca="false">(INDEX(08_Annahmen!$D$22:$D$29,MATCH($H83,08_Annahmen!$B$22:$B$29,0))/MAX($I83,15))^INDEX(08_Annahmen!$E$22:$E$29,MATCH($H83,08_Annahmen!$B$22:$B$29,0))</f>
        <v>1.05295323643297</v>
      </c>
      <c r="L83" s="84" t="n">
        <f aca="false">INDEX(08_Annahmen!$C$22:$C$29,MATCH($H83,08_Annahmen!$B$22:$B$29,0))*$K83*(1+INDEX(08_Annahmen!$F$22:$F$29,MATCH($H83,08_Annahmen!$B$22:$B$29,0)))*(1+08_Annahmen!$C$9)*(1+08_Annahmen!$C$14)*IF($J83="ja",08_Annahmen!$C$12,1)</f>
        <v>353.809977055849</v>
      </c>
      <c r="M83" s="32" t="n">
        <f aca="false">$L83*$I83</f>
        <v>29955.9231843944</v>
      </c>
      <c r="N83" s="32" t="n">
        <f aca="false">$M83/12</f>
        <v>2496.32693203287</v>
      </c>
    </row>
    <row r="84" customFormat="false" ht="15" hidden="false" customHeight="false" outlineLevel="0" collapsed="false">
      <c r="B84" s="29" t="n">
        <v>78</v>
      </c>
      <c r="C84" s="29" t="s">
        <v>236</v>
      </c>
      <c r="D84" s="29" t="s">
        <v>97</v>
      </c>
      <c r="E84" s="29" t="s">
        <v>142</v>
      </c>
      <c r="F84" s="29" t="s">
        <v>106</v>
      </c>
      <c r="G84" s="29" t="s">
        <v>497</v>
      </c>
      <c r="H84" s="29" t="s">
        <v>196</v>
      </c>
      <c r="I84" s="39" t="n">
        <v>84.6667</v>
      </c>
      <c r="J84" s="29" t="s">
        <v>493</v>
      </c>
      <c r="K84" s="83" t="n">
        <f aca="false">(INDEX(08_Annahmen!$D$22:$D$29,MATCH($H84,08_Annahmen!$B$22:$B$29,0))/MAX($I84,15))^INDEX(08_Annahmen!$E$22:$E$29,MATCH($H84,08_Annahmen!$B$22:$B$29,0))</f>
        <v>1.05295323643297</v>
      </c>
      <c r="L84" s="84" t="n">
        <f aca="false">INDEX(08_Annahmen!$C$22:$C$29,MATCH($H84,08_Annahmen!$B$22:$B$29,0))*$K84*(1+INDEX(08_Annahmen!$F$22:$F$29,MATCH($H84,08_Annahmen!$B$22:$B$29,0)))*(1+08_Annahmen!$C$9)*(1+08_Annahmen!$C$14)*IF($J84="ja",08_Annahmen!$C$12,1)</f>
        <v>353.809977055849</v>
      </c>
      <c r="M84" s="32" t="n">
        <f aca="false">$L84*$I84</f>
        <v>29955.9231843944</v>
      </c>
      <c r="N84" s="32" t="n">
        <f aca="false">$M84/12</f>
        <v>2496.32693203287</v>
      </c>
    </row>
    <row r="85" customFormat="false" ht="15" hidden="false" customHeight="false" outlineLevel="0" collapsed="false">
      <c r="B85" s="8" t="n">
        <v>79</v>
      </c>
      <c r="C85" s="8" t="s">
        <v>238</v>
      </c>
      <c r="D85" s="8" t="s">
        <v>100</v>
      </c>
      <c r="E85" s="8" t="s">
        <v>124</v>
      </c>
      <c r="F85" s="8" t="s">
        <v>107</v>
      </c>
      <c r="G85" s="8" t="s">
        <v>125</v>
      </c>
      <c r="H85" s="8" t="s">
        <v>107</v>
      </c>
      <c r="I85" s="38" t="n">
        <v>511.77</v>
      </c>
      <c r="J85" s="8" t="s">
        <v>493</v>
      </c>
      <c r="K85" s="81" t="n">
        <f aca="false">(INDEX(08_Annahmen!$D$22:$D$29,MATCH($H85,08_Annahmen!$B$22:$B$29,0))/MAX($I85,15))^INDEX(08_Annahmen!$E$22:$E$29,MATCH($H85,08_Annahmen!$B$22:$B$29,0))</f>
        <v>0.842136131386505</v>
      </c>
      <c r="L85" s="82" t="n">
        <f aca="false">INDEX(08_Annahmen!$C$22:$C$29,MATCH($H85,08_Annahmen!$B$22:$B$29,0))*$K85*(1+INDEX(08_Annahmen!$F$22:$F$29,MATCH($H85,08_Annahmen!$B$22:$B$29,0)))*(1+08_Annahmen!$C$9)*(1+08_Annahmen!$C$14)*IF($J85="ja",08_Annahmen!$C$12,1)</f>
        <v>175.259160910191</v>
      </c>
      <c r="M85" s="28" t="n">
        <f aca="false">$L85*$I85</f>
        <v>89692.3807790082</v>
      </c>
      <c r="N85" s="28" t="n">
        <f aca="false">$M85/12</f>
        <v>7474.36506491735</v>
      </c>
    </row>
    <row r="86" customFormat="false" ht="15" hidden="false" customHeight="false" outlineLevel="0" collapsed="false">
      <c r="B86" s="8" t="n">
        <v>80</v>
      </c>
      <c r="C86" s="8" t="s">
        <v>238</v>
      </c>
      <c r="D86" s="8" t="s">
        <v>100</v>
      </c>
      <c r="E86" s="8" t="s">
        <v>124</v>
      </c>
      <c r="F86" s="8" t="s">
        <v>107</v>
      </c>
      <c r="G86" s="8" t="s">
        <v>126</v>
      </c>
      <c r="H86" s="8" t="s">
        <v>107</v>
      </c>
      <c r="I86" s="38" t="n">
        <v>228.62</v>
      </c>
      <c r="J86" s="8" t="s">
        <v>493</v>
      </c>
      <c r="K86" s="81" t="n">
        <f aca="false">(INDEX(08_Annahmen!$D$22:$D$29,MATCH($H86,08_Annahmen!$B$22:$B$29,0))/MAX($I86,15))^INDEX(08_Annahmen!$E$22:$E$29,MATCH($H86,08_Annahmen!$B$22:$B$29,0))</f>
        <v>0.942707116120208</v>
      </c>
      <c r="L86" s="82" t="n">
        <f aca="false">INDEX(08_Annahmen!$C$22:$C$29,MATCH($H86,08_Annahmen!$B$22:$B$29,0))*$K86*(1+INDEX(08_Annahmen!$F$22:$F$29,MATCH($H86,08_Annahmen!$B$22:$B$29,0)))*(1+08_Annahmen!$C$9)*(1+08_Annahmen!$C$14)*IF($J86="ja",08_Annahmen!$C$12,1)</f>
        <v>196.189252541956</v>
      </c>
      <c r="M86" s="28" t="n">
        <f aca="false">$L86*$I86</f>
        <v>44852.7869161421</v>
      </c>
      <c r="N86" s="28" t="n">
        <f aca="false">$M86/12</f>
        <v>3737.73224301184</v>
      </c>
    </row>
    <row r="87" customFormat="false" ht="15" hidden="false" customHeight="false" outlineLevel="0" collapsed="false">
      <c r="B87" s="8" t="n">
        <v>81</v>
      </c>
      <c r="C87" s="8" t="s">
        <v>238</v>
      </c>
      <c r="D87" s="8" t="s">
        <v>100</v>
      </c>
      <c r="E87" s="8" t="s">
        <v>124</v>
      </c>
      <c r="F87" s="8" t="s">
        <v>107</v>
      </c>
      <c r="G87" s="8" t="s">
        <v>127</v>
      </c>
      <c r="H87" s="8" t="s">
        <v>107</v>
      </c>
      <c r="I87" s="38" t="n">
        <v>166.33</v>
      </c>
      <c r="J87" s="8" t="s">
        <v>493</v>
      </c>
      <c r="K87" s="81" t="n">
        <f aca="false">(INDEX(08_Annahmen!$D$22:$D$29,MATCH($H87,08_Annahmen!$B$22:$B$29,0))/MAX($I87,15))^INDEX(08_Annahmen!$E$22:$E$29,MATCH($H87,08_Annahmen!$B$22:$B$29,0))</f>
        <v>0.985636763589307</v>
      </c>
      <c r="L87" s="82" t="n">
        <f aca="false">INDEX(08_Annahmen!$C$22:$C$29,MATCH($H87,08_Annahmen!$B$22:$B$29,0))*$K87*(1+INDEX(08_Annahmen!$F$22:$F$29,MATCH($H87,08_Annahmen!$B$22:$B$29,0)))*(1+08_Annahmen!$C$9)*(1+08_Annahmen!$C$14)*IF($J87="ja",08_Annahmen!$C$12,1)</f>
        <v>205.123454167075</v>
      </c>
      <c r="M87" s="28" t="n">
        <f aca="false">$L87*$I87</f>
        <v>34118.1841316096</v>
      </c>
      <c r="N87" s="28" t="n">
        <f aca="false">$M87/12</f>
        <v>2843.18201096747</v>
      </c>
    </row>
    <row r="88" customFormat="false" ht="15" hidden="false" customHeight="false" outlineLevel="0" collapsed="false">
      <c r="B88" s="8" t="n">
        <v>82</v>
      </c>
      <c r="C88" s="8" t="s">
        <v>238</v>
      </c>
      <c r="D88" s="8" t="s">
        <v>100</v>
      </c>
      <c r="E88" s="8" t="s">
        <v>124</v>
      </c>
      <c r="F88" s="8" t="s">
        <v>107</v>
      </c>
      <c r="G88" s="8" t="s">
        <v>128</v>
      </c>
      <c r="H88" s="8" t="s">
        <v>107</v>
      </c>
      <c r="I88" s="38" t="n">
        <v>113.4</v>
      </c>
      <c r="J88" s="8" t="s">
        <v>493</v>
      </c>
      <c r="K88" s="81" t="n">
        <f aca="false">(INDEX(08_Annahmen!$D$22:$D$29,MATCH($H88,08_Annahmen!$B$22:$B$29,0))/MAX($I88,15))^INDEX(08_Annahmen!$E$22:$E$29,MATCH($H88,08_Annahmen!$B$22:$B$29,0))</f>
        <v>1.03993680448876</v>
      </c>
      <c r="L88" s="82" t="n">
        <f aca="false">INDEX(08_Annahmen!$C$22:$C$29,MATCH($H88,08_Annahmen!$B$22:$B$29,0))*$K88*(1+INDEX(08_Annahmen!$F$22:$F$29,MATCH($H88,08_Annahmen!$B$22:$B$29,0)))*(1+08_Annahmen!$C$9)*(1+08_Annahmen!$C$14)*IF($J88="ja",08_Annahmen!$C$12,1)</f>
        <v>216.423978216268</v>
      </c>
      <c r="M88" s="28" t="n">
        <f aca="false">$L88*$I88</f>
        <v>24542.4791297247</v>
      </c>
      <c r="N88" s="28" t="n">
        <f aca="false">$M88/12</f>
        <v>2045.20659414373</v>
      </c>
    </row>
    <row r="89" customFormat="false" ht="15" hidden="false" customHeight="false" outlineLevel="0" collapsed="false">
      <c r="B89" s="8" t="n">
        <v>83</v>
      </c>
      <c r="C89" s="8" t="s">
        <v>238</v>
      </c>
      <c r="D89" s="8" t="s">
        <v>100</v>
      </c>
      <c r="E89" s="8" t="s">
        <v>129</v>
      </c>
      <c r="F89" s="8" t="s">
        <v>130</v>
      </c>
      <c r="G89" s="8" t="s">
        <v>125</v>
      </c>
      <c r="H89" s="8" t="s">
        <v>130</v>
      </c>
      <c r="I89" s="38" t="n">
        <v>43.05</v>
      </c>
      <c r="J89" s="8" t="s">
        <v>493</v>
      </c>
      <c r="K89" s="81" t="n">
        <f aca="false">(INDEX(08_Annahmen!$D$22:$D$29,MATCH($H89,08_Annahmen!$B$22:$B$29,0))/MAX($I89,15))^INDEX(08_Annahmen!$E$22:$E$29,MATCH($H89,08_Annahmen!$B$22:$B$29,0))</f>
        <v>1.19095824245933</v>
      </c>
      <c r="L89" s="82" t="n">
        <f aca="false">INDEX(08_Annahmen!$C$22:$C$29,MATCH($H89,08_Annahmen!$B$22:$B$29,0))*$K89*(1+INDEX(08_Annahmen!$F$22:$F$29,MATCH($H89,08_Annahmen!$B$22:$B$29,0)))*(1+08_Annahmen!$C$9)*(1+08_Annahmen!$C$14)*IF($J89="ja",08_Annahmen!$C$12,1)</f>
        <v>268.558701758094</v>
      </c>
      <c r="M89" s="28" t="n">
        <f aca="false">$L89*$I89</f>
        <v>11561.452110686</v>
      </c>
      <c r="N89" s="28" t="n">
        <f aca="false">$M89/12</f>
        <v>963.454342557163</v>
      </c>
    </row>
    <row r="90" customFormat="false" ht="15" hidden="false" customHeight="false" outlineLevel="0" collapsed="false">
      <c r="B90" s="8" t="n">
        <v>84</v>
      </c>
      <c r="C90" s="8" t="s">
        <v>238</v>
      </c>
      <c r="D90" s="8" t="s">
        <v>100</v>
      </c>
      <c r="E90" s="8" t="s">
        <v>129</v>
      </c>
      <c r="F90" s="8" t="s">
        <v>130</v>
      </c>
      <c r="G90" s="8" t="s">
        <v>125</v>
      </c>
      <c r="H90" s="8" t="s">
        <v>130</v>
      </c>
      <c r="I90" s="38" t="n">
        <v>43.05</v>
      </c>
      <c r="J90" s="8" t="s">
        <v>493</v>
      </c>
      <c r="K90" s="81" t="n">
        <f aca="false">(INDEX(08_Annahmen!$D$22:$D$29,MATCH($H90,08_Annahmen!$B$22:$B$29,0))/MAX($I90,15))^INDEX(08_Annahmen!$E$22:$E$29,MATCH($H90,08_Annahmen!$B$22:$B$29,0))</f>
        <v>1.19095824245933</v>
      </c>
      <c r="L90" s="82" t="n">
        <f aca="false">INDEX(08_Annahmen!$C$22:$C$29,MATCH($H90,08_Annahmen!$B$22:$B$29,0))*$K90*(1+INDEX(08_Annahmen!$F$22:$F$29,MATCH($H90,08_Annahmen!$B$22:$B$29,0)))*(1+08_Annahmen!$C$9)*(1+08_Annahmen!$C$14)*IF($J90="ja",08_Annahmen!$C$12,1)</f>
        <v>268.558701758094</v>
      </c>
      <c r="M90" s="28" t="n">
        <f aca="false">$L90*$I90</f>
        <v>11561.452110686</v>
      </c>
      <c r="N90" s="28" t="n">
        <f aca="false">$M90/12</f>
        <v>963.454342557163</v>
      </c>
    </row>
    <row r="91" customFormat="false" ht="15" hidden="false" customHeight="false" outlineLevel="0" collapsed="false">
      <c r="B91" s="8" t="n">
        <v>85</v>
      </c>
      <c r="C91" s="8" t="s">
        <v>238</v>
      </c>
      <c r="D91" s="8" t="s">
        <v>100</v>
      </c>
      <c r="E91" s="8" t="s">
        <v>129</v>
      </c>
      <c r="F91" s="8" t="s">
        <v>130</v>
      </c>
      <c r="G91" s="8" t="s">
        <v>125</v>
      </c>
      <c r="H91" s="8" t="s">
        <v>130</v>
      </c>
      <c r="I91" s="38" t="n">
        <v>43.05</v>
      </c>
      <c r="J91" s="8" t="s">
        <v>493</v>
      </c>
      <c r="K91" s="81" t="n">
        <f aca="false">(INDEX(08_Annahmen!$D$22:$D$29,MATCH($H91,08_Annahmen!$B$22:$B$29,0))/MAX($I91,15))^INDEX(08_Annahmen!$E$22:$E$29,MATCH($H91,08_Annahmen!$B$22:$B$29,0))</f>
        <v>1.19095824245933</v>
      </c>
      <c r="L91" s="82" t="n">
        <f aca="false">INDEX(08_Annahmen!$C$22:$C$29,MATCH($H91,08_Annahmen!$B$22:$B$29,0))*$K91*(1+INDEX(08_Annahmen!$F$22:$F$29,MATCH($H91,08_Annahmen!$B$22:$B$29,0)))*(1+08_Annahmen!$C$9)*(1+08_Annahmen!$C$14)*IF($J91="ja",08_Annahmen!$C$12,1)</f>
        <v>268.558701758094</v>
      </c>
      <c r="M91" s="28" t="n">
        <f aca="false">$L91*$I91</f>
        <v>11561.452110686</v>
      </c>
      <c r="N91" s="28" t="n">
        <f aca="false">$M91/12</f>
        <v>963.454342557163</v>
      </c>
    </row>
    <row r="92" customFormat="false" ht="15" hidden="false" customHeight="false" outlineLevel="0" collapsed="false">
      <c r="B92" s="8" t="n">
        <v>86</v>
      </c>
      <c r="C92" s="8" t="s">
        <v>238</v>
      </c>
      <c r="D92" s="8" t="s">
        <v>100</v>
      </c>
      <c r="E92" s="8" t="s">
        <v>129</v>
      </c>
      <c r="F92" s="8" t="s">
        <v>130</v>
      </c>
      <c r="G92" s="8" t="s">
        <v>125</v>
      </c>
      <c r="H92" s="8" t="s">
        <v>130</v>
      </c>
      <c r="I92" s="38" t="n">
        <v>43.05</v>
      </c>
      <c r="J92" s="8" t="s">
        <v>493</v>
      </c>
      <c r="K92" s="81" t="n">
        <f aca="false">(INDEX(08_Annahmen!$D$22:$D$29,MATCH($H92,08_Annahmen!$B$22:$B$29,0))/MAX($I92,15))^INDEX(08_Annahmen!$E$22:$E$29,MATCH($H92,08_Annahmen!$B$22:$B$29,0))</f>
        <v>1.19095824245933</v>
      </c>
      <c r="L92" s="82" t="n">
        <f aca="false">INDEX(08_Annahmen!$C$22:$C$29,MATCH($H92,08_Annahmen!$B$22:$B$29,0))*$K92*(1+INDEX(08_Annahmen!$F$22:$F$29,MATCH($H92,08_Annahmen!$B$22:$B$29,0)))*(1+08_Annahmen!$C$9)*(1+08_Annahmen!$C$14)*IF($J92="ja",08_Annahmen!$C$12,1)</f>
        <v>268.558701758094</v>
      </c>
      <c r="M92" s="28" t="n">
        <f aca="false">$L92*$I92</f>
        <v>11561.452110686</v>
      </c>
      <c r="N92" s="28" t="n">
        <f aca="false">$M92/12</f>
        <v>963.454342557163</v>
      </c>
    </row>
    <row r="93" customFormat="false" ht="15" hidden="false" customHeight="false" outlineLevel="0" collapsed="false">
      <c r="B93" s="8" t="n">
        <v>87</v>
      </c>
      <c r="C93" s="8" t="s">
        <v>238</v>
      </c>
      <c r="D93" s="8" t="s">
        <v>100</v>
      </c>
      <c r="E93" s="8" t="s">
        <v>129</v>
      </c>
      <c r="F93" s="8" t="s">
        <v>130</v>
      </c>
      <c r="G93" s="8" t="s">
        <v>126</v>
      </c>
      <c r="H93" s="8" t="s">
        <v>130</v>
      </c>
      <c r="I93" s="38" t="n">
        <v>42.55</v>
      </c>
      <c r="J93" s="8" t="s">
        <v>493</v>
      </c>
      <c r="K93" s="81" t="n">
        <f aca="false">(INDEX(08_Annahmen!$D$22:$D$29,MATCH($H93,08_Annahmen!$B$22:$B$29,0))/MAX($I93,15))^INDEX(08_Annahmen!$E$22:$E$29,MATCH($H93,08_Annahmen!$B$22:$B$29,0))</f>
        <v>1.1929076872692</v>
      </c>
      <c r="L93" s="82" t="n">
        <f aca="false">INDEX(08_Annahmen!$C$22:$C$29,MATCH($H93,08_Annahmen!$B$22:$B$29,0))*$K93*(1+INDEX(08_Annahmen!$F$22:$F$29,MATCH($H93,08_Annahmen!$B$22:$B$29,0)))*(1+08_Annahmen!$C$9)*(1+08_Annahmen!$C$14)*IF($J93="ja",08_Annahmen!$C$12,1)</f>
        <v>268.998297663829</v>
      </c>
      <c r="M93" s="28" t="n">
        <f aca="false">$L93*$I93</f>
        <v>11445.8775655959</v>
      </c>
      <c r="N93" s="28" t="n">
        <f aca="false">$M93/12</f>
        <v>953.823130466328</v>
      </c>
    </row>
    <row r="94" customFormat="false" ht="15" hidden="false" customHeight="false" outlineLevel="0" collapsed="false">
      <c r="B94" s="8" t="n">
        <v>88</v>
      </c>
      <c r="C94" s="8" t="s">
        <v>238</v>
      </c>
      <c r="D94" s="8" t="s">
        <v>100</v>
      </c>
      <c r="E94" s="8" t="s">
        <v>129</v>
      </c>
      <c r="F94" s="8" t="s">
        <v>130</v>
      </c>
      <c r="G94" s="8" t="s">
        <v>126</v>
      </c>
      <c r="H94" s="8" t="s">
        <v>130</v>
      </c>
      <c r="I94" s="38" t="n">
        <v>42.55</v>
      </c>
      <c r="J94" s="8" t="s">
        <v>493</v>
      </c>
      <c r="K94" s="81" t="n">
        <f aca="false">(INDEX(08_Annahmen!$D$22:$D$29,MATCH($H94,08_Annahmen!$B$22:$B$29,0))/MAX($I94,15))^INDEX(08_Annahmen!$E$22:$E$29,MATCH($H94,08_Annahmen!$B$22:$B$29,0))</f>
        <v>1.1929076872692</v>
      </c>
      <c r="L94" s="82" t="n">
        <f aca="false">INDEX(08_Annahmen!$C$22:$C$29,MATCH($H94,08_Annahmen!$B$22:$B$29,0))*$K94*(1+INDEX(08_Annahmen!$F$22:$F$29,MATCH($H94,08_Annahmen!$B$22:$B$29,0)))*(1+08_Annahmen!$C$9)*(1+08_Annahmen!$C$14)*IF($J94="ja",08_Annahmen!$C$12,1)</f>
        <v>268.998297663829</v>
      </c>
      <c r="M94" s="28" t="n">
        <f aca="false">$L94*$I94</f>
        <v>11445.8775655959</v>
      </c>
      <c r="N94" s="28" t="n">
        <f aca="false">$M94/12</f>
        <v>953.823130466328</v>
      </c>
    </row>
    <row r="95" customFormat="false" ht="15" hidden="false" customHeight="false" outlineLevel="0" collapsed="false">
      <c r="B95" s="8" t="n">
        <v>89</v>
      </c>
      <c r="C95" s="8" t="s">
        <v>238</v>
      </c>
      <c r="D95" s="8" t="s">
        <v>100</v>
      </c>
      <c r="E95" s="8" t="s">
        <v>129</v>
      </c>
      <c r="F95" s="8" t="s">
        <v>130</v>
      </c>
      <c r="G95" s="8" t="s">
        <v>126</v>
      </c>
      <c r="H95" s="8" t="s">
        <v>130</v>
      </c>
      <c r="I95" s="38" t="n">
        <v>42.55</v>
      </c>
      <c r="J95" s="8" t="s">
        <v>493</v>
      </c>
      <c r="K95" s="81" t="n">
        <f aca="false">(INDEX(08_Annahmen!$D$22:$D$29,MATCH($H95,08_Annahmen!$B$22:$B$29,0))/MAX($I95,15))^INDEX(08_Annahmen!$E$22:$E$29,MATCH($H95,08_Annahmen!$B$22:$B$29,0))</f>
        <v>1.1929076872692</v>
      </c>
      <c r="L95" s="82" t="n">
        <f aca="false">INDEX(08_Annahmen!$C$22:$C$29,MATCH($H95,08_Annahmen!$B$22:$B$29,0))*$K95*(1+INDEX(08_Annahmen!$F$22:$F$29,MATCH($H95,08_Annahmen!$B$22:$B$29,0)))*(1+08_Annahmen!$C$9)*(1+08_Annahmen!$C$14)*IF($J95="ja",08_Annahmen!$C$12,1)</f>
        <v>268.998297663829</v>
      </c>
      <c r="M95" s="28" t="n">
        <f aca="false">$L95*$I95</f>
        <v>11445.8775655959</v>
      </c>
      <c r="N95" s="28" t="n">
        <f aca="false">$M95/12</f>
        <v>953.823130466328</v>
      </c>
    </row>
    <row r="96" customFormat="false" ht="15" hidden="false" customHeight="false" outlineLevel="0" collapsed="false">
      <c r="B96" s="8" t="n">
        <v>90</v>
      </c>
      <c r="C96" s="8" t="s">
        <v>238</v>
      </c>
      <c r="D96" s="8" t="s">
        <v>100</v>
      </c>
      <c r="E96" s="8" t="s">
        <v>129</v>
      </c>
      <c r="F96" s="8" t="s">
        <v>130</v>
      </c>
      <c r="G96" s="8" t="s">
        <v>126</v>
      </c>
      <c r="H96" s="8" t="s">
        <v>130</v>
      </c>
      <c r="I96" s="38" t="n">
        <v>42.55</v>
      </c>
      <c r="J96" s="8" t="s">
        <v>493</v>
      </c>
      <c r="K96" s="81" t="n">
        <f aca="false">(INDEX(08_Annahmen!$D$22:$D$29,MATCH($H96,08_Annahmen!$B$22:$B$29,0))/MAX($I96,15))^INDEX(08_Annahmen!$E$22:$E$29,MATCH($H96,08_Annahmen!$B$22:$B$29,0))</f>
        <v>1.1929076872692</v>
      </c>
      <c r="L96" s="82" t="n">
        <f aca="false">INDEX(08_Annahmen!$C$22:$C$29,MATCH($H96,08_Annahmen!$B$22:$B$29,0))*$K96*(1+INDEX(08_Annahmen!$F$22:$F$29,MATCH($H96,08_Annahmen!$B$22:$B$29,0)))*(1+08_Annahmen!$C$9)*(1+08_Annahmen!$C$14)*IF($J96="ja",08_Annahmen!$C$12,1)</f>
        <v>268.998297663829</v>
      </c>
      <c r="M96" s="28" t="n">
        <f aca="false">$L96*$I96</f>
        <v>11445.8775655959</v>
      </c>
      <c r="N96" s="28" t="n">
        <f aca="false">$M96/12</f>
        <v>953.823130466328</v>
      </c>
    </row>
    <row r="97" customFormat="false" ht="15" hidden="false" customHeight="false" outlineLevel="0" collapsed="false">
      <c r="B97" s="8" t="n">
        <v>91</v>
      </c>
      <c r="C97" s="8" t="s">
        <v>238</v>
      </c>
      <c r="D97" s="8" t="s">
        <v>100</v>
      </c>
      <c r="E97" s="8" t="s">
        <v>129</v>
      </c>
      <c r="F97" s="8" t="s">
        <v>130</v>
      </c>
      <c r="G97" s="8" t="s">
        <v>127</v>
      </c>
      <c r="H97" s="8" t="s">
        <v>130</v>
      </c>
      <c r="I97" s="38" t="n">
        <v>41.95</v>
      </c>
      <c r="J97" s="8" t="s">
        <v>493</v>
      </c>
      <c r="K97" s="81" t="n">
        <f aca="false">(INDEX(08_Annahmen!$D$22:$D$29,MATCH($H97,08_Annahmen!$B$22:$B$29,0))/MAX($I97,15))^INDEX(08_Annahmen!$E$22:$E$29,MATCH($H97,08_Annahmen!$B$22:$B$29,0))</f>
        <v>1.19528178456027</v>
      </c>
      <c r="L97" s="82" t="n">
        <f aca="false">INDEX(08_Annahmen!$C$22:$C$29,MATCH($H97,08_Annahmen!$B$22:$B$29,0))*$K97*(1+INDEX(08_Annahmen!$F$22:$F$29,MATCH($H97,08_Annahmen!$B$22:$B$29,0)))*(1+08_Annahmen!$C$9)*(1+08_Annahmen!$C$14)*IF($J97="ja",08_Annahmen!$C$12,1)</f>
        <v>269.533651854772</v>
      </c>
      <c r="M97" s="28" t="n">
        <f aca="false">$L97*$I97</f>
        <v>11306.9366953077</v>
      </c>
      <c r="N97" s="28" t="n">
        <f aca="false">$M97/12</f>
        <v>942.244724608972</v>
      </c>
    </row>
    <row r="98" customFormat="false" ht="15" hidden="false" customHeight="false" outlineLevel="0" collapsed="false">
      <c r="B98" s="8" t="n">
        <v>92</v>
      </c>
      <c r="C98" s="8" t="s">
        <v>238</v>
      </c>
      <c r="D98" s="8" t="s">
        <v>100</v>
      </c>
      <c r="E98" s="8" t="s">
        <v>129</v>
      </c>
      <c r="F98" s="8" t="s">
        <v>130</v>
      </c>
      <c r="G98" s="8" t="s">
        <v>127</v>
      </c>
      <c r="H98" s="8" t="s">
        <v>130</v>
      </c>
      <c r="I98" s="38" t="n">
        <v>41.95</v>
      </c>
      <c r="J98" s="8" t="s">
        <v>493</v>
      </c>
      <c r="K98" s="81" t="n">
        <f aca="false">(INDEX(08_Annahmen!$D$22:$D$29,MATCH($H98,08_Annahmen!$B$22:$B$29,0))/MAX($I98,15))^INDEX(08_Annahmen!$E$22:$E$29,MATCH($H98,08_Annahmen!$B$22:$B$29,0))</f>
        <v>1.19528178456027</v>
      </c>
      <c r="L98" s="82" t="n">
        <f aca="false">INDEX(08_Annahmen!$C$22:$C$29,MATCH($H98,08_Annahmen!$B$22:$B$29,0))*$K98*(1+INDEX(08_Annahmen!$F$22:$F$29,MATCH($H98,08_Annahmen!$B$22:$B$29,0)))*(1+08_Annahmen!$C$9)*(1+08_Annahmen!$C$14)*IF($J98="ja",08_Annahmen!$C$12,1)</f>
        <v>269.533651854772</v>
      </c>
      <c r="M98" s="28" t="n">
        <f aca="false">$L98*$I98</f>
        <v>11306.9366953077</v>
      </c>
      <c r="N98" s="28" t="n">
        <f aca="false">$M98/12</f>
        <v>942.244724608972</v>
      </c>
    </row>
    <row r="99" customFormat="false" ht="15" hidden="false" customHeight="false" outlineLevel="0" collapsed="false">
      <c r="B99" s="8" t="n">
        <v>93</v>
      </c>
      <c r="C99" s="8" t="s">
        <v>238</v>
      </c>
      <c r="D99" s="8" t="s">
        <v>100</v>
      </c>
      <c r="E99" s="8" t="s">
        <v>129</v>
      </c>
      <c r="F99" s="8" t="s">
        <v>130</v>
      </c>
      <c r="G99" s="8" t="s">
        <v>127</v>
      </c>
      <c r="H99" s="8" t="s">
        <v>130</v>
      </c>
      <c r="I99" s="38" t="n">
        <v>41.95</v>
      </c>
      <c r="J99" s="8" t="s">
        <v>493</v>
      </c>
      <c r="K99" s="81" t="n">
        <f aca="false">(INDEX(08_Annahmen!$D$22:$D$29,MATCH($H99,08_Annahmen!$B$22:$B$29,0))/MAX($I99,15))^INDEX(08_Annahmen!$E$22:$E$29,MATCH($H99,08_Annahmen!$B$22:$B$29,0))</f>
        <v>1.19528178456027</v>
      </c>
      <c r="L99" s="82" t="n">
        <f aca="false">INDEX(08_Annahmen!$C$22:$C$29,MATCH($H99,08_Annahmen!$B$22:$B$29,0))*$K99*(1+INDEX(08_Annahmen!$F$22:$F$29,MATCH($H99,08_Annahmen!$B$22:$B$29,0)))*(1+08_Annahmen!$C$9)*(1+08_Annahmen!$C$14)*IF($J99="ja",08_Annahmen!$C$12,1)</f>
        <v>269.533651854772</v>
      </c>
      <c r="M99" s="28" t="n">
        <f aca="false">$L99*$I99</f>
        <v>11306.9366953077</v>
      </c>
      <c r="N99" s="28" t="n">
        <f aca="false">$M99/12</f>
        <v>942.244724608972</v>
      </c>
    </row>
    <row r="100" customFormat="false" ht="15" hidden="false" customHeight="false" outlineLevel="0" collapsed="false">
      <c r="B100" s="8" t="n">
        <v>94</v>
      </c>
      <c r="C100" s="8" t="s">
        <v>238</v>
      </c>
      <c r="D100" s="8" t="s">
        <v>100</v>
      </c>
      <c r="E100" s="8" t="s">
        <v>129</v>
      </c>
      <c r="F100" s="8" t="s">
        <v>130</v>
      </c>
      <c r="G100" s="8" t="s">
        <v>127</v>
      </c>
      <c r="H100" s="8" t="s">
        <v>130</v>
      </c>
      <c r="I100" s="38" t="n">
        <v>41.95</v>
      </c>
      <c r="J100" s="8" t="s">
        <v>493</v>
      </c>
      <c r="K100" s="81" t="n">
        <f aca="false">(INDEX(08_Annahmen!$D$22:$D$29,MATCH($H100,08_Annahmen!$B$22:$B$29,0))/MAX($I100,15))^INDEX(08_Annahmen!$E$22:$E$29,MATCH($H100,08_Annahmen!$B$22:$B$29,0))</f>
        <v>1.19528178456027</v>
      </c>
      <c r="L100" s="82" t="n">
        <f aca="false">INDEX(08_Annahmen!$C$22:$C$29,MATCH($H100,08_Annahmen!$B$22:$B$29,0))*$K100*(1+INDEX(08_Annahmen!$F$22:$F$29,MATCH($H100,08_Annahmen!$B$22:$B$29,0)))*(1+08_Annahmen!$C$9)*(1+08_Annahmen!$C$14)*IF($J100="ja",08_Annahmen!$C$12,1)</f>
        <v>269.533651854772</v>
      </c>
      <c r="M100" s="28" t="n">
        <f aca="false">$L100*$I100</f>
        <v>11306.9366953077</v>
      </c>
      <c r="N100" s="28" t="n">
        <f aca="false">$M100/12</f>
        <v>942.244724608972</v>
      </c>
    </row>
    <row r="101" customFormat="false" ht="15" hidden="false" customHeight="false" outlineLevel="0" collapsed="false">
      <c r="B101" s="8" t="n">
        <v>95</v>
      </c>
      <c r="C101" s="8" t="s">
        <v>238</v>
      </c>
      <c r="D101" s="8" t="s">
        <v>100</v>
      </c>
      <c r="E101" s="8" t="s">
        <v>129</v>
      </c>
      <c r="F101" s="8" t="s">
        <v>130</v>
      </c>
      <c r="G101" s="8" t="s">
        <v>128</v>
      </c>
      <c r="H101" s="8" t="s">
        <v>130</v>
      </c>
      <c r="I101" s="38" t="n">
        <v>26.09</v>
      </c>
      <c r="J101" s="8" t="s">
        <v>493</v>
      </c>
      <c r="K101" s="81" t="n">
        <f aca="false">(INDEX(08_Annahmen!$D$22:$D$29,MATCH($H101,08_Annahmen!$B$22:$B$29,0))/MAX($I101,15))^INDEX(08_Annahmen!$E$22:$E$29,MATCH($H101,08_Annahmen!$B$22:$B$29,0))</f>
        <v>1.27745733757397</v>
      </c>
      <c r="L101" s="82" t="n">
        <f aca="false">INDEX(08_Annahmen!$C$22:$C$29,MATCH($H101,08_Annahmen!$B$22:$B$29,0))*$K101*(1+INDEX(08_Annahmen!$F$22:$F$29,MATCH($H101,08_Annahmen!$B$22:$B$29,0)))*(1+08_Annahmen!$C$9)*(1+08_Annahmen!$C$14)*IF($J101="ja",08_Annahmen!$C$12,1)</f>
        <v>288.064074708256</v>
      </c>
      <c r="M101" s="28" t="n">
        <f aca="false">$L101*$I101</f>
        <v>7515.59170913839</v>
      </c>
      <c r="N101" s="28" t="n">
        <f aca="false">$M101/12</f>
        <v>626.299309094866</v>
      </c>
    </row>
    <row r="102" customFormat="false" ht="15" hidden="false" customHeight="false" outlineLevel="0" collapsed="false">
      <c r="B102" s="8" t="n">
        <v>96</v>
      </c>
      <c r="C102" s="8" t="s">
        <v>238</v>
      </c>
      <c r="D102" s="8" t="s">
        <v>100</v>
      </c>
      <c r="E102" s="8" t="s">
        <v>129</v>
      </c>
      <c r="F102" s="8" t="s">
        <v>130</v>
      </c>
      <c r="G102" s="8" t="s">
        <v>128</v>
      </c>
      <c r="H102" s="8" t="s">
        <v>130</v>
      </c>
      <c r="I102" s="38" t="n">
        <v>26.09</v>
      </c>
      <c r="J102" s="8" t="s">
        <v>493</v>
      </c>
      <c r="K102" s="81" t="n">
        <f aca="false">(INDEX(08_Annahmen!$D$22:$D$29,MATCH($H102,08_Annahmen!$B$22:$B$29,0))/MAX($I102,15))^INDEX(08_Annahmen!$E$22:$E$29,MATCH($H102,08_Annahmen!$B$22:$B$29,0))</f>
        <v>1.27745733757397</v>
      </c>
      <c r="L102" s="82" t="n">
        <f aca="false">INDEX(08_Annahmen!$C$22:$C$29,MATCH($H102,08_Annahmen!$B$22:$B$29,0))*$K102*(1+INDEX(08_Annahmen!$F$22:$F$29,MATCH($H102,08_Annahmen!$B$22:$B$29,0)))*(1+08_Annahmen!$C$9)*(1+08_Annahmen!$C$14)*IF($J102="ja",08_Annahmen!$C$12,1)</f>
        <v>288.064074708256</v>
      </c>
      <c r="M102" s="28" t="n">
        <f aca="false">$L102*$I102</f>
        <v>7515.59170913839</v>
      </c>
      <c r="N102" s="28" t="n">
        <f aca="false">$M102/12</f>
        <v>626.299309094866</v>
      </c>
    </row>
    <row r="103" customFormat="false" ht="15" hidden="false" customHeight="false" outlineLevel="0" collapsed="false">
      <c r="B103" s="8" t="n">
        <v>97</v>
      </c>
      <c r="C103" s="8" t="s">
        <v>238</v>
      </c>
      <c r="D103" s="8" t="s">
        <v>100</v>
      </c>
      <c r="E103" s="8" t="s">
        <v>129</v>
      </c>
      <c r="F103" s="8" t="s">
        <v>130</v>
      </c>
      <c r="G103" s="8" t="s">
        <v>128</v>
      </c>
      <c r="H103" s="8" t="s">
        <v>130</v>
      </c>
      <c r="I103" s="38" t="n">
        <v>26.09</v>
      </c>
      <c r="J103" s="8" t="s">
        <v>493</v>
      </c>
      <c r="K103" s="81" t="n">
        <f aca="false">(INDEX(08_Annahmen!$D$22:$D$29,MATCH($H103,08_Annahmen!$B$22:$B$29,0))/MAX($I103,15))^INDEX(08_Annahmen!$E$22:$E$29,MATCH($H103,08_Annahmen!$B$22:$B$29,0))</f>
        <v>1.27745733757397</v>
      </c>
      <c r="L103" s="82" t="n">
        <f aca="false">INDEX(08_Annahmen!$C$22:$C$29,MATCH($H103,08_Annahmen!$B$22:$B$29,0))*$K103*(1+INDEX(08_Annahmen!$F$22:$F$29,MATCH($H103,08_Annahmen!$B$22:$B$29,0)))*(1+08_Annahmen!$C$9)*(1+08_Annahmen!$C$14)*IF($J103="ja",08_Annahmen!$C$12,1)</f>
        <v>288.064074708256</v>
      </c>
      <c r="M103" s="28" t="n">
        <f aca="false">$L103*$I103</f>
        <v>7515.59170913839</v>
      </c>
      <c r="N103" s="28" t="n">
        <f aca="false">$M103/12</f>
        <v>626.299309094866</v>
      </c>
    </row>
    <row r="104" customFormat="false" ht="15" hidden="false" customHeight="false" outlineLevel="0" collapsed="false">
      <c r="B104" s="8" t="n">
        <v>98</v>
      </c>
      <c r="C104" s="8" t="s">
        <v>238</v>
      </c>
      <c r="D104" s="8" t="s">
        <v>100</v>
      </c>
      <c r="E104" s="8" t="s">
        <v>129</v>
      </c>
      <c r="F104" s="8" t="s">
        <v>130</v>
      </c>
      <c r="G104" s="8" t="s">
        <v>128</v>
      </c>
      <c r="H104" s="8" t="s">
        <v>130</v>
      </c>
      <c r="I104" s="38" t="n">
        <v>26.09</v>
      </c>
      <c r="J104" s="8" t="s">
        <v>493</v>
      </c>
      <c r="K104" s="81" t="n">
        <f aca="false">(INDEX(08_Annahmen!$D$22:$D$29,MATCH($H104,08_Annahmen!$B$22:$B$29,0))/MAX($I104,15))^INDEX(08_Annahmen!$E$22:$E$29,MATCH($H104,08_Annahmen!$B$22:$B$29,0))</f>
        <v>1.27745733757397</v>
      </c>
      <c r="L104" s="82" t="n">
        <f aca="false">INDEX(08_Annahmen!$C$22:$C$29,MATCH($H104,08_Annahmen!$B$22:$B$29,0))*$K104*(1+INDEX(08_Annahmen!$F$22:$F$29,MATCH($H104,08_Annahmen!$B$22:$B$29,0)))*(1+08_Annahmen!$C$9)*(1+08_Annahmen!$C$14)*IF($J104="ja",08_Annahmen!$C$12,1)</f>
        <v>288.064074708256</v>
      </c>
      <c r="M104" s="28" t="n">
        <f aca="false">$L104*$I104</f>
        <v>7515.59170913839</v>
      </c>
      <c r="N104" s="28" t="n">
        <f aca="false">$M104/12</f>
        <v>626.299309094866</v>
      </c>
    </row>
    <row r="105" customFormat="false" ht="15" hidden="false" customHeight="false" outlineLevel="0" collapsed="false">
      <c r="B105" s="8" t="n">
        <v>99</v>
      </c>
      <c r="C105" s="8" t="s">
        <v>238</v>
      </c>
      <c r="D105" s="8" t="s">
        <v>100</v>
      </c>
      <c r="E105" s="8" t="s">
        <v>129</v>
      </c>
      <c r="F105" s="8" t="s">
        <v>130</v>
      </c>
      <c r="G105" s="8" t="s">
        <v>128</v>
      </c>
      <c r="H105" s="8" t="s">
        <v>130</v>
      </c>
      <c r="I105" s="38" t="n">
        <v>26.09</v>
      </c>
      <c r="J105" s="8" t="s">
        <v>493</v>
      </c>
      <c r="K105" s="81" t="n">
        <f aca="false">(INDEX(08_Annahmen!$D$22:$D$29,MATCH($H105,08_Annahmen!$B$22:$B$29,0))/MAX($I105,15))^INDEX(08_Annahmen!$E$22:$E$29,MATCH($H105,08_Annahmen!$B$22:$B$29,0))</f>
        <v>1.27745733757397</v>
      </c>
      <c r="L105" s="82" t="n">
        <f aca="false">INDEX(08_Annahmen!$C$22:$C$29,MATCH($H105,08_Annahmen!$B$22:$B$29,0))*$K105*(1+INDEX(08_Annahmen!$F$22:$F$29,MATCH($H105,08_Annahmen!$B$22:$B$29,0)))*(1+08_Annahmen!$C$9)*(1+08_Annahmen!$C$14)*IF($J105="ja",08_Annahmen!$C$12,1)</f>
        <v>288.064074708256</v>
      </c>
      <c r="M105" s="28" t="n">
        <f aca="false">$L105*$I105</f>
        <v>7515.59170913839</v>
      </c>
      <c r="N105" s="28" t="n">
        <f aca="false">$M105/12</f>
        <v>626.299309094866</v>
      </c>
    </row>
    <row r="106" customFormat="false" ht="15" hidden="false" customHeight="false" outlineLevel="0" collapsed="false">
      <c r="B106" s="8" t="n">
        <v>100</v>
      </c>
      <c r="C106" s="8" t="s">
        <v>238</v>
      </c>
      <c r="D106" s="8" t="s">
        <v>100</v>
      </c>
      <c r="E106" s="8" t="s">
        <v>129</v>
      </c>
      <c r="F106" s="8" t="s">
        <v>130</v>
      </c>
      <c r="G106" s="8" t="s">
        <v>128</v>
      </c>
      <c r="H106" s="8" t="s">
        <v>130</v>
      </c>
      <c r="I106" s="38" t="n">
        <v>26.09</v>
      </c>
      <c r="J106" s="8" t="s">
        <v>493</v>
      </c>
      <c r="K106" s="81" t="n">
        <f aca="false">(INDEX(08_Annahmen!$D$22:$D$29,MATCH($H106,08_Annahmen!$B$22:$B$29,0))/MAX($I106,15))^INDEX(08_Annahmen!$E$22:$E$29,MATCH($H106,08_Annahmen!$B$22:$B$29,0))</f>
        <v>1.27745733757397</v>
      </c>
      <c r="L106" s="82" t="n">
        <f aca="false">INDEX(08_Annahmen!$C$22:$C$29,MATCH($H106,08_Annahmen!$B$22:$B$29,0))*$K106*(1+INDEX(08_Annahmen!$F$22:$F$29,MATCH($H106,08_Annahmen!$B$22:$B$29,0)))*(1+08_Annahmen!$C$9)*(1+08_Annahmen!$C$14)*IF($J106="ja",08_Annahmen!$C$12,1)</f>
        <v>288.064074708256</v>
      </c>
      <c r="M106" s="28" t="n">
        <f aca="false">$L106*$I106</f>
        <v>7515.59170913839</v>
      </c>
      <c r="N106" s="28" t="n">
        <f aca="false">$M106/12</f>
        <v>626.299309094866</v>
      </c>
    </row>
    <row r="107" customFormat="false" ht="15" hidden="false" customHeight="false" outlineLevel="0" collapsed="false">
      <c r="B107" s="8" t="n">
        <v>101</v>
      </c>
      <c r="C107" s="8" t="s">
        <v>238</v>
      </c>
      <c r="D107" s="8" t="s">
        <v>100</v>
      </c>
      <c r="E107" s="8" t="s">
        <v>129</v>
      </c>
      <c r="F107" s="8" t="s">
        <v>130</v>
      </c>
      <c r="G107" s="8" t="s">
        <v>128</v>
      </c>
      <c r="H107" s="8" t="s">
        <v>130</v>
      </c>
      <c r="I107" s="38" t="n">
        <v>26.09</v>
      </c>
      <c r="J107" s="8" t="s">
        <v>493</v>
      </c>
      <c r="K107" s="81" t="n">
        <f aca="false">(INDEX(08_Annahmen!$D$22:$D$29,MATCH($H107,08_Annahmen!$B$22:$B$29,0))/MAX($I107,15))^INDEX(08_Annahmen!$E$22:$E$29,MATCH($H107,08_Annahmen!$B$22:$B$29,0))</f>
        <v>1.27745733757397</v>
      </c>
      <c r="L107" s="82" t="n">
        <f aca="false">INDEX(08_Annahmen!$C$22:$C$29,MATCH($H107,08_Annahmen!$B$22:$B$29,0))*$K107*(1+INDEX(08_Annahmen!$F$22:$F$29,MATCH($H107,08_Annahmen!$B$22:$B$29,0)))*(1+08_Annahmen!$C$9)*(1+08_Annahmen!$C$14)*IF($J107="ja",08_Annahmen!$C$12,1)</f>
        <v>288.064074708256</v>
      </c>
      <c r="M107" s="28" t="n">
        <f aca="false">$L107*$I107</f>
        <v>7515.59170913839</v>
      </c>
      <c r="N107" s="28" t="n">
        <f aca="false">$M107/12</f>
        <v>626.299309094866</v>
      </c>
    </row>
    <row r="108" customFormat="false" ht="15" hidden="false" customHeight="false" outlineLevel="0" collapsed="false">
      <c r="B108" s="8" t="n">
        <v>102</v>
      </c>
      <c r="C108" s="8" t="s">
        <v>238</v>
      </c>
      <c r="D108" s="8" t="s">
        <v>100</v>
      </c>
      <c r="E108" s="8" t="s">
        <v>129</v>
      </c>
      <c r="F108" s="8" t="s">
        <v>130</v>
      </c>
      <c r="G108" s="8" t="s">
        <v>128</v>
      </c>
      <c r="H108" s="8" t="s">
        <v>130</v>
      </c>
      <c r="I108" s="38" t="n">
        <v>26.09</v>
      </c>
      <c r="J108" s="8" t="s">
        <v>493</v>
      </c>
      <c r="K108" s="81" t="n">
        <f aca="false">(INDEX(08_Annahmen!$D$22:$D$29,MATCH($H108,08_Annahmen!$B$22:$B$29,0))/MAX($I108,15))^INDEX(08_Annahmen!$E$22:$E$29,MATCH($H108,08_Annahmen!$B$22:$B$29,0))</f>
        <v>1.27745733757397</v>
      </c>
      <c r="L108" s="82" t="n">
        <f aca="false">INDEX(08_Annahmen!$C$22:$C$29,MATCH($H108,08_Annahmen!$B$22:$B$29,0))*$K108*(1+INDEX(08_Annahmen!$F$22:$F$29,MATCH($H108,08_Annahmen!$B$22:$B$29,0)))*(1+08_Annahmen!$C$9)*(1+08_Annahmen!$C$14)*IF($J108="ja",08_Annahmen!$C$12,1)</f>
        <v>288.064074708256</v>
      </c>
      <c r="M108" s="28" t="n">
        <f aca="false">$L108*$I108</f>
        <v>7515.59170913839</v>
      </c>
      <c r="N108" s="28" t="n">
        <f aca="false">$M108/12</f>
        <v>626.299309094866</v>
      </c>
    </row>
    <row r="109" customFormat="false" ht="15" hidden="false" customHeight="false" outlineLevel="0" collapsed="false">
      <c r="B109" s="8" t="n">
        <v>103</v>
      </c>
      <c r="C109" s="8" t="s">
        <v>238</v>
      </c>
      <c r="D109" s="8" t="s">
        <v>100</v>
      </c>
      <c r="E109" s="8" t="s">
        <v>131</v>
      </c>
      <c r="F109" s="8" t="s">
        <v>218</v>
      </c>
      <c r="G109" s="8" t="s">
        <v>125</v>
      </c>
      <c r="H109" s="8" t="s">
        <v>218</v>
      </c>
      <c r="I109" s="38" t="n">
        <v>53.56</v>
      </c>
      <c r="J109" s="8" t="s">
        <v>493</v>
      </c>
      <c r="K109" s="81" t="n">
        <f aca="false">(INDEX(08_Annahmen!$D$22:$D$29,MATCH($H109,08_Annahmen!$B$22:$B$29,0))/MAX($I109,15))^INDEX(08_Annahmen!$E$22:$E$29,MATCH($H109,08_Annahmen!$B$22:$B$29,0))</f>
        <v>1.21355488786651</v>
      </c>
      <c r="L109" s="82" t="n">
        <f aca="false">INDEX(08_Annahmen!$C$22:$C$29,MATCH($H109,08_Annahmen!$B$22:$B$29,0))*$K109*(1+INDEX(08_Annahmen!$F$22:$F$29,MATCH($H109,08_Annahmen!$B$22:$B$29,0)))*(1+08_Annahmen!$C$9)*(1+08_Annahmen!$C$14)*IF($J109="ja",08_Annahmen!$C$12,1)</f>
        <v>535.636429296743</v>
      </c>
      <c r="M109" s="28" t="n">
        <f aca="false">$L109*$I109</f>
        <v>28688.6871531336</v>
      </c>
      <c r="N109" s="28" t="n">
        <f aca="false">$M109/12</f>
        <v>2390.7239294278</v>
      </c>
    </row>
    <row r="110" customFormat="false" ht="15" hidden="false" customHeight="false" outlineLevel="0" collapsed="false">
      <c r="B110" s="8" t="n">
        <v>104</v>
      </c>
      <c r="C110" s="8" t="s">
        <v>238</v>
      </c>
      <c r="D110" s="8" t="s">
        <v>100</v>
      </c>
      <c r="E110" s="8" t="s">
        <v>131</v>
      </c>
      <c r="F110" s="8" t="s">
        <v>218</v>
      </c>
      <c r="G110" s="8" t="s">
        <v>125</v>
      </c>
      <c r="H110" s="8" t="s">
        <v>218</v>
      </c>
      <c r="I110" s="38" t="n">
        <v>53.56</v>
      </c>
      <c r="J110" s="8" t="s">
        <v>493</v>
      </c>
      <c r="K110" s="81" t="n">
        <f aca="false">(INDEX(08_Annahmen!$D$22:$D$29,MATCH($H110,08_Annahmen!$B$22:$B$29,0))/MAX($I110,15))^INDEX(08_Annahmen!$E$22:$E$29,MATCH($H110,08_Annahmen!$B$22:$B$29,0))</f>
        <v>1.21355488786651</v>
      </c>
      <c r="L110" s="82" t="n">
        <f aca="false">INDEX(08_Annahmen!$C$22:$C$29,MATCH($H110,08_Annahmen!$B$22:$B$29,0))*$K110*(1+INDEX(08_Annahmen!$F$22:$F$29,MATCH($H110,08_Annahmen!$B$22:$B$29,0)))*(1+08_Annahmen!$C$9)*(1+08_Annahmen!$C$14)*IF($J110="ja",08_Annahmen!$C$12,1)</f>
        <v>535.636429296743</v>
      </c>
      <c r="M110" s="28" t="n">
        <f aca="false">$L110*$I110</f>
        <v>28688.6871531336</v>
      </c>
      <c r="N110" s="28" t="n">
        <f aca="false">$M110/12</f>
        <v>2390.7239294278</v>
      </c>
    </row>
    <row r="111" customFormat="false" ht="15" hidden="false" customHeight="false" outlineLevel="0" collapsed="false">
      <c r="B111" s="8" t="n">
        <v>105</v>
      </c>
      <c r="C111" s="8" t="s">
        <v>238</v>
      </c>
      <c r="D111" s="8" t="s">
        <v>100</v>
      </c>
      <c r="E111" s="8" t="s">
        <v>131</v>
      </c>
      <c r="F111" s="8" t="s">
        <v>218</v>
      </c>
      <c r="G111" s="8" t="s">
        <v>125</v>
      </c>
      <c r="H111" s="8" t="s">
        <v>218</v>
      </c>
      <c r="I111" s="38" t="n">
        <v>53.56</v>
      </c>
      <c r="J111" s="8" t="s">
        <v>493</v>
      </c>
      <c r="K111" s="81" t="n">
        <f aca="false">(INDEX(08_Annahmen!$D$22:$D$29,MATCH($H111,08_Annahmen!$B$22:$B$29,0))/MAX($I111,15))^INDEX(08_Annahmen!$E$22:$E$29,MATCH($H111,08_Annahmen!$B$22:$B$29,0))</f>
        <v>1.21355488786651</v>
      </c>
      <c r="L111" s="82" t="n">
        <f aca="false">INDEX(08_Annahmen!$C$22:$C$29,MATCH($H111,08_Annahmen!$B$22:$B$29,0))*$K111*(1+INDEX(08_Annahmen!$F$22:$F$29,MATCH($H111,08_Annahmen!$B$22:$B$29,0)))*(1+08_Annahmen!$C$9)*(1+08_Annahmen!$C$14)*IF($J111="ja",08_Annahmen!$C$12,1)</f>
        <v>535.636429296743</v>
      </c>
      <c r="M111" s="28" t="n">
        <f aca="false">$L111*$I111</f>
        <v>28688.6871531336</v>
      </c>
      <c r="N111" s="28" t="n">
        <f aca="false">$M111/12</f>
        <v>2390.7239294278</v>
      </c>
    </row>
    <row r="112" customFormat="false" ht="15" hidden="false" customHeight="false" outlineLevel="0" collapsed="false">
      <c r="B112" s="8" t="n">
        <v>106</v>
      </c>
      <c r="C112" s="8" t="s">
        <v>238</v>
      </c>
      <c r="D112" s="8" t="s">
        <v>100</v>
      </c>
      <c r="E112" s="8" t="s">
        <v>131</v>
      </c>
      <c r="F112" s="8" t="s">
        <v>218</v>
      </c>
      <c r="G112" s="8" t="s">
        <v>125</v>
      </c>
      <c r="H112" s="8" t="s">
        <v>218</v>
      </c>
      <c r="I112" s="38" t="n">
        <v>53.56</v>
      </c>
      <c r="J112" s="8" t="s">
        <v>493</v>
      </c>
      <c r="K112" s="81" t="n">
        <f aca="false">(INDEX(08_Annahmen!$D$22:$D$29,MATCH($H112,08_Annahmen!$B$22:$B$29,0))/MAX($I112,15))^INDEX(08_Annahmen!$E$22:$E$29,MATCH($H112,08_Annahmen!$B$22:$B$29,0))</f>
        <v>1.21355488786651</v>
      </c>
      <c r="L112" s="82" t="n">
        <f aca="false">INDEX(08_Annahmen!$C$22:$C$29,MATCH($H112,08_Annahmen!$B$22:$B$29,0))*$K112*(1+INDEX(08_Annahmen!$F$22:$F$29,MATCH($H112,08_Annahmen!$B$22:$B$29,0)))*(1+08_Annahmen!$C$9)*(1+08_Annahmen!$C$14)*IF($J112="ja",08_Annahmen!$C$12,1)</f>
        <v>535.636429296743</v>
      </c>
      <c r="M112" s="28" t="n">
        <f aca="false">$L112*$I112</f>
        <v>28688.6871531336</v>
      </c>
      <c r="N112" s="28" t="n">
        <f aca="false">$M112/12</f>
        <v>2390.7239294278</v>
      </c>
    </row>
    <row r="113" customFormat="false" ht="15" hidden="false" customHeight="false" outlineLevel="0" collapsed="false">
      <c r="B113" s="8" t="n">
        <v>107</v>
      </c>
      <c r="C113" s="8" t="s">
        <v>238</v>
      </c>
      <c r="D113" s="8" t="s">
        <v>100</v>
      </c>
      <c r="E113" s="8" t="s">
        <v>131</v>
      </c>
      <c r="F113" s="8" t="s">
        <v>218</v>
      </c>
      <c r="G113" s="8" t="s">
        <v>126</v>
      </c>
      <c r="H113" s="8" t="s">
        <v>218</v>
      </c>
      <c r="I113" s="38" t="n">
        <v>42.88</v>
      </c>
      <c r="J113" s="8" t="s">
        <v>493</v>
      </c>
      <c r="K113" s="81" t="n">
        <f aca="false">(INDEX(08_Annahmen!$D$22:$D$29,MATCH($H113,08_Annahmen!$B$22:$B$29,0))/MAX($I113,15))^INDEX(08_Annahmen!$E$22:$E$29,MATCH($H113,08_Annahmen!$B$22:$B$29,0))</f>
        <v>1.30017262935102</v>
      </c>
      <c r="L113" s="82" t="n">
        <f aca="false">INDEX(08_Annahmen!$C$22:$C$29,MATCH($H113,08_Annahmen!$B$22:$B$29,0))*$K113*(1+INDEX(08_Annahmen!$F$22:$F$29,MATCH($H113,08_Annahmen!$B$22:$B$29,0)))*(1+08_Annahmen!$C$9)*(1+08_Annahmen!$C$14)*IF($J113="ja",08_Annahmen!$C$12,1)</f>
        <v>573.867594797696</v>
      </c>
      <c r="M113" s="28" t="n">
        <f aca="false">$L113*$I113</f>
        <v>24607.4424649252</v>
      </c>
      <c r="N113" s="28" t="n">
        <f aca="false">$M113/12</f>
        <v>2050.62020541043</v>
      </c>
    </row>
    <row r="114" customFormat="false" ht="15" hidden="false" customHeight="false" outlineLevel="0" collapsed="false">
      <c r="B114" s="8" t="n">
        <v>108</v>
      </c>
      <c r="C114" s="8" t="s">
        <v>238</v>
      </c>
      <c r="D114" s="8" t="s">
        <v>100</v>
      </c>
      <c r="E114" s="8" t="s">
        <v>131</v>
      </c>
      <c r="F114" s="8" t="s">
        <v>218</v>
      </c>
      <c r="G114" s="8" t="s">
        <v>126</v>
      </c>
      <c r="H114" s="8" t="s">
        <v>218</v>
      </c>
      <c r="I114" s="38" t="n">
        <v>42.88</v>
      </c>
      <c r="J114" s="8" t="s">
        <v>493</v>
      </c>
      <c r="K114" s="81" t="n">
        <f aca="false">(INDEX(08_Annahmen!$D$22:$D$29,MATCH($H114,08_Annahmen!$B$22:$B$29,0))/MAX($I114,15))^INDEX(08_Annahmen!$E$22:$E$29,MATCH($H114,08_Annahmen!$B$22:$B$29,0))</f>
        <v>1.30017262935102</v>
      </c>
      <c r="L114" s="82" t="n">
        <f aca="false">INDEX(08_Annahmen!$C$22:$C$29,MATCH($H114,08_Annahmen!$B$22:$B$29,0))*$K114*(1+INDEX(08_Annahmen!$F$22:$F$29,MATCH($H114,08_Annahmen!$B$22:$B$29,0)))*(1+08_Annahmen!$C$9)*(1+08_Annahmen!$C$14)*IF($J114="ja",08_Annahmen!$C$12,1)</f>
        <v>573.867594797696</v>
      </c>
      <c r="M114" s="28" t="n">
        <f aca="false">$L114*$I114</f>
        <v>24607.4424649252</v>
      </c>
      <c r="N114" s="28" t="n">
        <f aca="false">$M114/12</f>
        <v>2050.62020541043</v>
      </c>
    </row>
    <row r="115" customFormat="false" ht="15" hidden="false" customHeight="false" outlineLevel="0" collapsed="false">
      <c r="B115" s="8" t="n">
        <v>109</v>
      </c>
      <c r="C115" s="8" t="s">
        <v>238</v>
      </c>
      <c r="D115" s="8" t="s">
        <v>100</v>
      </c>
      <c r="E115" s="8" t="s">
        <v>131</v>
      </c>
      <c r="F115" s="8" t="s">
        <v>218</v>
      </c>
      <c r="G115" s="8" t="s">
        <v>126</v>
      </c>
      <c r="H115" s="8" t="s">
        <v>218</v>
      </c>
      <c r="I115" s="38" t="n">
        <v>42.88</v>
      </c>
      <c r="J115" s="8" t="s">
        <v>493</v>
      </c>
      <c r="K115" s="81" t="n">
        <f aca="false">(INDEX(08_Annahmen!$D$22:$D$29,MATCH($H115,08_Annahmen!$B$22:$B$29,0))/MAX($I115,15))^INDEX(08_Annahmen!$E$22:$E$29,MATCH($H115,08_Annahmen!$B$22:$B$29,0))</f>
        <v>1.30017262935102</v>
      </c>
      <c r="L115" s="82" t="n">
        <f aca="false">INDEX(08_Annahmen!$C$22:$C$29,MATCH($H115,08_Annahmen!$B$22:$B$29,0))*$K115*(1+INDEX(08_Annahmen!$F$22:$F$29,MATCH($H115,08_Annahmen!$B$22:$B$29,0)))*(1+08_Annahmen!$C$9)*(1+08_Annahmen!$C$14)*IF($J115="ja",08_Annahmen!$C$12,1)</f>
        <v>573.867594797696</v>
      </c>
      <c r="M115" s="28" t="n">
        <f aca="false">$L115*$I115</f>
        <v>24607.4424649252</v>
      </c>
      <c r="N115" s="28" t="n">
        <f aca="false">$M115/12</f>
        <v>2050.62020541043</v>
      </c>
    </row>
    <row r="116" customFormat="false" ht="15" hidden="false" customHeight="false" outlineLevel="0" collapsed="false">
      <c r="B116" s="8" t="n">
        <v>110</v>
      </c>
      <c r="C116" s="8" t="s">
        <v>238</v>
      </c>
      <c r="D116" s="8" t="s">
        <v>100</v>
      </c>
      <c r="E116" s="8" t="s">
        <v>131</v>
      </c>
      <c r="F116" s="8" t="s">
        <v>218</v>
      </c>
      <c r="G116" s="8" t="s">
        <v>126</v>
      </c>
      <c r="H116" s="8" t="s">
        <v>218</v>
      </c>
      <c r="I116" s="38" t="n">
        <v>42.88</v>
      </c>
      <c r="J116" s="8" t="s">
        <v>493</v>
      </c>
      <c r="K116" s="81" t="n">
        <f aca="false">(INDEX(08_Annahmen!$D$22:$D$29,MATCH($H116,08_Annahmen!$B$22:$B$29,0))/MAX($I116,15))^INDEX(08_Annahmen!$E$22:$E$29,MATCH($H116,08_Annahmen!$B$22:$B$29,0))</f>
        <v>1.30017262935102</v>
      </c>
      <c r="L116" s="82" t="n">
        <f aca="false">INDEX(08_Annahmen!$C$22:$C$29,MATCH($H116,08_Annahmen!$B$22:$B$29,0))*$K116*(1+INDEX(08_Annahmen!$F$22:$F$29,MATCH($H116,08_Annahmen!$B$22:$B$29,0)))*(1+08_Annahmen!$C$9)*(1+08_Annahmen!$C$14)*IF($J116="ja",08_Annahmen!$C$12,1)</f>
        <v>573.867594797696</v>
      </c>
      <c r="M116" s="28" t="n">
        <f aca="false">$L116*$I116</f>
        <v>24607.4424649252</v>
      </c>
      <c r="N116" s="28" t="n">
        <f aca="false">$M116/12</f>
        <v>2050.62020541043</v>
      </c>
    </row>
    <row r="117" customFormat="false" ht="15" hidden="false" customHeight="false" outlineLevel="0" collapsed="false">
      <c r="B117" s="8" t="n">
        <v>111</v>
      </c>
      <c r="C117" s="8" t="s">
        <v>238</v>
      </c>
      <c r="D117" s="8" t="s">
        <v>100</v>
      </c>
      <c r="E117" s="8" t="s">
        <v>131</v>
      </c>
      <c r="F117" s="8" t="s">
        <v>218</v>
      </c>
      <c r="G117" s="8" t="s">
        <v>127</v>
      </c>
      <c r="H117" s="8" t="s">
        <v>218</v>
      </c>
      <c r="I117" s="38" t="n">
        <v>25.92</v>
      </c>
      <c r="J117" s="8" t="s">
        <v>493</v>
      </c>
      <c r="K117" s="81" t="n">
        <f aca="false">(INDEX(08_Annahmen!$D$22:$D$29,MATCH($H117,08_Annahmen!$B$22:$B$29,0))/MAX($I117,15))^INDEX(08_Annahmen!$E$22:$E$29,MATCH($H117,08_Annahmen!$B$22:$B$29,0))</f>
        <v>1.51975349520037</v>
      </c>
      <c r="L117" s="82" t="n">
        <f aca="false">INDEX(08_Annahmen!$C$22:$C$29,MATCH($H117,08_Annahmen!$B$22:$B$29,0))*$K117*(1+INDEX(08_Annahmen!$F$22:$F$29,MATCH($H117,08_Annahmen!$B$22:$B$29,0)))*(1+08_Annahmen!$C$9)*(1+08_Annahmen!$C$14)*IF($J117="ja",08_Annahmen!$C$12,1)</f>
        <v>670.785758204551</v>
      </c>
      <c r="M117" s="28" t="n">
        <f aca="false">$L117*$I117</f>
        <v>17386.766852662</v>
      </c>
      <c r="N117" s="28" t="n">
        <f aca="false">$M117/12</f>
        <v>1448.89723772183</v>
      </c>
    </row>
    <row r="118" customFormat="false" ht="15" hidden="false" customHeight="false" outlineLevel="0" collapsed="false">
      <c r="B118" s="8" t="n">
        <v>112</v>
      </c>
      <c r="C118" s="8" t="s">
        <v>238</v>
      </c>
      <c r="D118" s="8" t="s">
        <v>100</v>
      </c>
      <c r="E118" s="8" t="s">
        <v>131</v>
      </c>
      <c r="F118" s="8" t="s">
        <v>218</v>
      </c>
      <c r="G118" s="8" t="s">
        <v>127</v>
      </c>
      <c r="H118" s="8" t="s">
        <v>218</v>
      </c>
      <c r="I118" s="38" t="n">
        <v>25.92</v>
      </c>
      <c r="J118" s="8" t="s">
        <v>493</v>
      </c>
      <c r="K118" s="81" t="n">
        <f aca="false">(INDEX(08_Annahmen!$D$22:$D$29,MATCH($H118,08_Annahmen!$B$22:$B$29,0))/MAX($I118,15))^INDEX(08_Annahmen!$E$22:$E$29,MATCH($H118,08_Annahmen!$B$22:$B$29,0))</f>
        <v>1.51975349520037</v>
      </c>
      <c r="L118" s="82" t="n">
        <f aca="false">INDEX(08_Annahmen!$C$22:$C$29,MATCH($H118,08_Annahmen!$B$22:$B$29,0))*$K118*(1+INDEX(08_Annahmen!$F$22:$F$29,MATCH($H118,08_Annahmen!$B$22:$B$29,0)))*(1+08_Annahmen!$C$9)*(1+08_Annahmen!$C$14)*IF($J118="ja",08_Annahmen!$C$12,1)</f>
        <v>670.785758204551</v>
      </c>
      <c r="M118" s="28" t="n">
        <f aca="false">$L118*$I118</f>
        <v>17386.766852662</v>
      </c>
      <c r="N118" s="28" t="n">
        <f aca="false">$M118/12</f>
        <v>1448.89723772183</v>
      </c>
    </row>
    <row r="119" customFormat="false" ht="15" hidden="false" customHeight="false" outlineLevel="0" collapsed="false">
      <c r="B119" s="8" t="n">
        <v>113</v>
      </c>
      <c r="C119" s="8" t="s">
        <v>238</v>
      </c>
      <c r="D119" s="8" t="s">
        <v>100</v>
      </c>
      <c r="E119" s="8" t="s">
        <v>131</v>
      </c>
      <c r="F119" s="8" t="s">
        <v>218</v>
      </c>
      <c r="G119" s="8" t="s">
        <v>127</v>
      </c>
      <c r="H119" s="8" t="s">
        <v>218</v>
      </c>
      <c r="I119" s="38" t="n">
        <v>25.92</v>
      </c>
      <c r="J119" s="8" t="s">
        <v>493</v>
      </c>
      <c r="K119" s="81" t="n">
        <f aca="false">(INDEX(08_Annahmen!$D$22:$D$29,MATCH($H119,08_Annahmen!$B$22:$B$29,0))/MAX($I119,15))^INDEX(08_Annahmen!$E$22:$E$29,MATCH($H119,08_Annahmen!$B$22:$B$29,0))</f>
        <v>1.51975349520037</v>
      </c>
      <c r="L119" s="82" t="n">
        <f aca="false">INDEX(08_Annahmen!$C$22:$C$29,MATCH($H119,08_Annahmen!$B$22:$B$29,0))*$K119*(1+INDEX(08_Annahmen!$F$22:$F$29,MATCH($H119,08_Annahmen!$B$22:$B$29,0)))*(1+08_Annahmen!$C$9)*(1+08_Annahmen!$C$14)*IF($J119="ja",08_Annahmen!$C$12,1)</f>
        <v>670.785758204551</v>
      </c>
      <c r="M119" s="28" t="n">
        <f aca="false">$L119*$I119</f>
        <v>17386.766852662</v>
      </c>
      <c r="N119" s="28" t="n">
        <f aca="false">$M119/12</f>
        <v>1448.89723772183</v>
      </c>
    </row>
    <row r="120" customFormat="false" ht="15" hidden="false" customHeight="false" outlineLevel="0" collapsed="false">
      <c r="B120" s="8" t="n">
        <v>114</v>
      </c>
      <c r="C120" s="8" t="s">
        <v>238</v>
      </c>
      <c r="D120" s="8" t="s">
        <v>100</v>
      </c>
      <c r="E120" s="8" t="s">
        <v>131</v>
      </c>
      <c r="F120" s="8" t="s">
        <v>218</v>
      </c>
      <c r="G120" s="8" t="s">
        <v>127</v>
      </c>
      <c r="H120" s="8" t="s">
        <v>218</v>
      </c>
      <c r="I120" s="38" t="n">
        <v>25.92</v>
      </c>
      <c r="J120" s="8" t="s">
        <v>493</v>
      </c>
      <c r="K120" s="81" t="n">
        <f aca="false">(INDEX(08_Annahmen!$D$22:$D$29,MATCH($H120,08_Annahmen!$B$22:$B$29,0))/MAX($I120,15))^INDEX(08_Annahmen!$E$22:$E$29,MATCH($H120,08_Annahmen!$B$22:$B$29,0))</f>
        <v>1.51975349520037</v>
      </c>
      <c r="L120" s="82" t="n">
        <f aca="false">INDEX(08_Annahmen!$C$22:$C$29,MATCH($H120,08_Annahmen!$B$22:$B$29,0))*$K120*(1+INDEX(08_Annahmen!$F$22:$F$29,MATCH($H120,08_Annahmen!$B$22:$B$29,0)))*(1+08_Annahmen!$C$9)*(1+08_Annahmen!$C$14)*IF($J120="ja",08_Annahmen!$C$12,1)</f>
        <v>670.785758204551</v>
      </c>
      <c r="M120" s="28" t="n">
        <f aca="false">$L120*$I120</f>
        <v>17386.766852662</v>
      </c>
      <c r="N120" s="28" t="n">
        <f aca="false">$M120/12</f>
        <v>1448.89723772183</v>
      </c>
    </row>
    <row r="121" customFormat="false" ht="15" hidden="false" customHeight="false" outlineLevel="0" collapsed="false">
      <c r="B121" s="8" t="n">
        <v>115</v>
      </c>
      <c r="C121" s="8" t="s">
        <v>238</v>
      </c>
      <c r="D121" s="8" t="s">
        <v>100</v>
      </c>
      <c r="E121" s="8" t="s">
        <v>131</v>
      </c>
      <c r="F121" s="8" t="s">
        <v>218</v>
      </c>
      <c r="G121" s="8" t="s">
        <v>127</v>
      </c>
      <c r="H121" s="8" t="s">
        <v>218</v>
      </c>
      <c r="I121" s="38" t="n">
        <v>25.92</v>
      </c>
      <c r="J121" s="8" t="s">
        <v>493</v>
      </c>
      <c r="K121" s="81" t="n">
        <f aca="false">(INDEX(08_Annahmen!$D$22:$D$29,MATCH($H121,08_Annahmen!$B$22:$B$29,0))/MAX($I121,15))^INDEX(08_Annahmen!$E$22:$E$29,MATCH($H121,08_Annahmen!$B$22:$B$29,0))</f>
        <v>1.51975349520037</v>
      </c>
      <c r="L121" s="82" t="n">
        <f aca="false">INDEX(08_Annahmen!$C$22:$C$29,MATCH($H121,08_Annahmen!$B$22:$B$29,0))*$K121*(1+INDEX(08_Annahmen!$F$22:$F$29,MATCH($H121,08_Annahmen!$B$22:$B$29,0)))*(1+08_Annahmen!$C$9)*(1+08_Annahmen!$C$14)*IF($J121="ja",08_Annahmen!$C$12,1)</f>
        <v>670.785758204551</v>
      </c>
      <c r="M121" s="28" t="n">
        <f aca="false">$L121*$I121</f>
        <v>17386.766852662</v>
      </c>
      <c r="N121" s="28" t="n">
        <f aca="false">$M121/12</f>
        <v>1448.89723772183</v>
      </c>
    </row>
    <row r="122" customFormat="false" ht="15" hidden="false" customHeight="false" outlineLevel="0" collapsed="false">
      <c r="B122" s="8" t="n">
        <v>116</v>
      </c>
      <c r="C122" s="8" t="s">
        <v>238</v>
      </c>
      <c r="D122" s="8" t="s">
        <v>100</v>
      </c>
      <c r="E122" s="8" t="s">
        <v>131</v>
      </c>
      <c r="F122" s="8" t="s">
        <v>218</v>
      </c>
      <c r="G122" s="8" t="s">
        <v>127</v>
      </c>
      <c r="H122" s="8" t="s">
        <v>218</v>
      </c>
      <c r="I122" s="38" t="n">
        <v>25.92</v>
      </c>
      <c r="J122" s="8" t="s">
        <v>493</v>
      </c>
      <c r="K122" s="81" t="n">
        <f aca="false">(INDEX(08_Annahmen!$D$22:$D$29,MATCH($H122,08_Annahmen!$B$22:$B$29,0))/MAX($I122,15))^INDEX(08_Annahmen!$E$22:$E$29,MATCH($H122,08_Annahmen!$B$22:$B$29,0))</f>
        <v>1.51975349520037</v>
      </c>
      <c r="L122" s="82" t="n">
        <f aca="false">INDEX(08_Annahmen!$C$22:$C$29,MATCH($H122,08_Annahmen!$B$22:$B$29,0))*$K122*(1+INDEX(08_Annahmen!$F$22:$F$29,MATCH($H122,08_Annahmen!$B$22:$B$29,0)))*(1+08_Annahmen!$C$9)*(1+08_Annahmen!$C$14)*IF($J122="ja",08_Annahmen!$C$12,1)</f>
        <v>670.785758204551</v>
      </c>
      <c r="M122" s="28" t="n">
        <f aca="false">$L122*$I122</f>
        <v>17386.766852662</v>
      </c>
      <c r="N122" s="28" t="n">
        <f aca="false">$M122/12</f>
        <v>1448.89723772183</v>
      </c>
    </row>
    <row r="123" customFormat="false" ht="15" hidden="false" customHeight="false" outlineLevel="0" collapsed="false">
      <c r="B123" s="8" t="n">
        <v>117</v>
      </c>
      <c r="C123" s="8" t="s">
        <v>238</v>
      </c>
      <c r="D123" s="8" t="s">
        <v>100</v>
      </c>
      <c r="E123" s="8" t="s">
        <v>131</v>
      </c>
      <c r="F123" s="8" t="s">
        <v>218</v>
      </c>
      <c r="G123" s="8" t="s">
        <v>127</v>
      </c>
      <c r="H123" s="8" t="s">
        <v>218</v>
      </c>
      <c r="I123" s="38" t="n">
        <v>25.92</v>
      </c>
      <c r="J123" s="8" t="s">
        <v>493</v>
      </c>
      <c r="K123" s="81" t="n">
        <f aca="false">(INDEX(08_Annahmen!$D$22:$D$29,MATCH($H123,08_Annahmen!$B$22:$B$29,0))/MAX($I123,15))^INDEX(08_Annahmen!$E$22:$E$29,MATCH($H123,08_Annahmen!$B$22:$B$29,0))</f>
        <v>1.51975349520037</v>
      </c>
      <c r="L123" s="82" t="n">
        <f aca="false">INDEX(08_Annahmen!$C$22:$C$29,MATCH($H123,08_Annahmen!$B$22:$B$29,0))*$K123*(1+INDEX(08_Annahmen!$F$22:$F$29,MATCH($H123,08_Annahmen!$B$22:$B$29,0)))*(1+08_Annahmen!$C$9)*(1+08_Annahmen!$C$14)*IF($J123="ja",08_Annahmen!$C$12,1)</f>
        <v>670.785758204551</v>
      </c>
      <c r="M123" s="28" t="n">
        <f aca="false">$L123*$I123</f>
        <v>17386.766852662</v>
      </c>
      <c r="N123" s="28" t="n">
        <f aca="false">$M123/12</f>
        <v>1448.89723772183</v>
      </c>
    </row>
    <row r="124" customFormat="false" ht="15" hidden="false" customHeight="false" outlineLevel="0" collapsed="false">
      <c r="B124" s="8" t="n">
        <v>118</v>
      </c>
      <c r="C124" s="8" t="s">
        <v>238</v>
      </c>
      <c r="D124" s="8" t="s">
        <v>100</v>
      </c>
      <c r="E124" s="8" t="s">
        <v>131</v>
      </c>
      <c r="F124" s="8" t="s">
        <v>218</v>
      </c>
      <c r="G124" s="8" t="s">
        <v>127</v>
      </c>
      <c r="H124" s="8" t="s">
        <v>218</v>
      </c>
      <c r="I124" s="38" t="n">
        <v>25.92</v>
      </c>
      <c r="J124" s="8" t="s">
        <v>493</v>
      </c>
      <c r="K124" s="81" t="n">
        <f aca="false">(INDEX(08_Annahmen!$D$22:$D$29,MATCH($H124,08_Annahmen!$B$22:$B$29,0))/MAX($I124,15))^INDEX(08_Annahmen!$E$22:$E$29,MATCH($H124,08_Annahmen!$B$22:$B$29,0))</f>
        <v>1.51975349520037</v>
      </c>
      <c r="L124" s="82" t="n">
        <f aca="false">INDEX(08_Annahmen!$C$22:$C$29,MATCH($H124,08_Annahmen!$B$22:$B$29,0))*$K124*(1+INDEX(08_Annahmen!$F$22:$F$29,MATCH($H124,08_Annahmen!$B$22:$B$29,0)))*(1+08_Annahmen!$C$9)*(1+08_Annahmen!$C$14)*IF($J124="ja",08_Annahmen!$C$12,1)</f>
        <v>670.785758204551</v>
      </c>
      <c r="M124" s="28" t="n">
        <f aca="false">$L124*$I124</f>
        <v>17386.766852662</v>
      </c>
      <c r="N124" s="28" t="n">
        <f aca="false">$M124/12</f>
        <v>1448.89723772183</v>
      </c>
    </row>
    <row r="125" customFormat="false" ht="15" hidden="false" customHeight="false" outlineLevel="0" collapsed="false">
      <c r="B125" s="8" t="n">
        <v>119</v>
      </c>
      <c r="C125" s="8" t="s">
        <v>238</v>
      </c>
      <c r="D125" s="8" t="s">
        <v>100</v>
      </c>
      <c r="E125" s="8" t="s">
        <v>131</v>
      </c>
      <c r="F125" s="8" t="s">
        <v>218</v>
      </c>
      <c r="G125" s="8" t="s">
        <v>127</v>
      </c>
      <c r="H125" s="8" t="s">
        <v>218</v>
      </c>
      <c r="I125" s="38" t="n">
        <v>25.92</v>
      </c>
      <c r="J125" s="8" t="s">
        <v>493</v>
      </c>
      <c r="K125" s="81" t="n">
        <f aca="false">(INDEX(08_Annahmen!$D$22:$D$29,MATCH($H125,08_Annahmen!$B$22:$B$29,0))/MAX($I125,15))^INDEX(08_Annahmen!$E$22:$E$29,MATCH($H125,08_Annahmen!$B$22:$B$29,0))</f>
        <v>1.51975349520037</v>
      </c>
      <c r="L125" s="82" t="n">
        <f aca="false">INDEX(08_Annahmen!$C$22:$C$29,MATCH($H125,08_Annahmen!$B$22:$B$29,0))*$K125*(1+INDEX(08_Annahmen!$F$22:$F$29,MATCH($H125,08_Annahmen!$B$22:$B$29,0)))*(1+08_Annahmen!$C$9)*(1+08_Annahmen!$C$14)*IF($J125="ja",08_Annahmen!$C$12,1)</f>
        <v>670.785758204551</v>
      </c>
      <c r="M125" s="28" t="n">
        <f aca="false">$L125*$I125</f>
        <v>17386.766852662</v>
      </c>
      <c r="N125" s="28" t="n">
        <f aca="false">$M125/12</f>
        <v>1448.89723772183</v>
      </c>
    </row>
    <row r="126" customFormat="false" ht="15" hidden="false" customHeight="false" outlineLevel="0" collapsed="false">
      <c r="B126" s="8" t="n">
        <v>120</v>
      </c>
      <c r="C126" s="8" t="s">
        <v>238</v>
      </c>
      <c r="D126" s="8" t="s">
        <v>100</v>
      </c>
      <c r="E126" s="8" t="s">
        <v>131</v>
      </c>
      <c r="F126" s="8" t="s">
        <v>218</v>
      </c>
      <c r="G126" s="8" t="s">
        <v>127</v>
      </c>
      <c r="H126" s="8" t="s">
        <v>218</v>
      </c>
      <c r="I126" s="38" t="n">
        <v>25.92</v>
      </c>
      <c r="J126" s="8" t="s">
        <v>493</v>
      </c>
      <c r="K126" s="81" t="n">
        <f aca="false">(INDEX(08_Annahmen!$D$22:$D$29,MATCH($H126,08_Annahmen!$B$22:$B$29,0))/MAX($I126,15))^INDEX(08_Annahmen!$E$22:$E$29,MATCH($H126,08_Annahmen!$B$22:$B$29,0))</f>
        <v>1.51975349520037</v>
      </c>
      <c r="L126" s="82" t="n">
        <f aca="false">INDEX(08_Annahmen!$C$22:$C$29,MATCH($H126,08_Annahmen!$B$22:$B$29,0))*$K126*(1+INDEX(08_Annahmen!$F$22:$F$29,MATCH($H126,08_Annahmen!$B$22:$B$29,0)))*(1+08_Annahmen!$C$9)*(1+08_Annahmen!$C$14)*IF($J126="ja",08_Annahmen!$C$12,1)</f>
        <v>670.785758204551</v>
      </c>
      <c r="M126" s="28" t="n">
        <f aca="false">$L126*$I126</f>
        <v>17386.766852662</v>
      </c>
      <c r="N126" s="28" t="n">
        <f aca="false">$M126/12</f>
        <v>1448.89723772183</v>
      </c>
    </row>
    <row r="127" customFormat="false" ht="15" hidden="false" customHeight="false" outlineLevel="0" collapsed="false">
      <c r="B127" s="8" t="n">
        <v>121</v>
      </c>
      <c r="C127" s="8" t="s">
        <v>238</v>
      </c>
      <c r="D127" s="8" t="s">
        <v>100</v>
      </c>
      <c r="E127" s="8" t="s">
        <v>131</v>
      </c>
      <c r="F127" s="8" t="s">
        <v>218</v>
      </c>
      <c r="G127" s="8" t="s">
        <v>127</v>
      </c>
      <c r="H127" s="8" t="s">
        <v>218</v>
      </c>
      <c r="I127" s="38" t="n">
        <v>25.92</v>
      </c>
      <c r="J127" s="8" t="s">
        <v>493</v>
      </c>
      <c r="K127" s="81" t="n">
        <f aca="false">(INDEX(08_Annahmen!$D$22:$D$29,MATCH($H127,08_Annahmen!$B$22:$B$29,0))/MAX($I127,15))^INDEX(08_Annahmen!$E$22:$E$29,MATCH($H127,08_Annahmen!$B$22:$B$29,0))</f>
        <v>1.51975349520037</v>
      </c>
      <c r="L127" s="82" t="n">
        <f aca="false">INDEX(08_Annahmen!$C$22:$C$29,MATCH($H127,08_Annahmen!$B$22:$B$29,0))*$K127*(1+INDEX(08_Annahmen!$F$22:$F$29,MATCH($H127,08_Annahmen!$B$22:$B$29,0)))*(1+08_Annahmen!$C$9)*(1+08_Annahmen!$C$14)*IF($J127="ja",08_Annahmen!$C$12,1)</f>
        <v>670.785758204551</v>
      </c>
      <c r="M127" s="28" t="n">
        <f aca="false">$L127*$I127</f>
        <v>17386.766852662</v>
      </c>
      <c r="N127" s="28" t="n">
        <f aca="false">$M127/12</f>
        <v>1448.89723772183</v>
      </c>
    </row>
    <row r="128" customFormat="false" ht="15" hidden="false" customHeight="false" outlineLevel="0" collapsed="false">
      <c r="B128" s="8" t="n">
        <v>122</v>
      </c>
      <c r="C128" s="8" t="s">
        <v>238</v>
      </c>
      <c r="D128" s="8" t="s">
        <v>100</v>
      </c>
      <c r="E128" s="8" t="s">
        <v>131</v>
      </c>
      <c r="F128" s="8" t="s">
        <v>218</v>
      </c>
      <c r="G128" s="8" t="s">
        <v>127</v>
      </c>
      <c r="H128" s="8" t="s">
        <v>218</v>
      </c>
      <c r="I128" s="38" t="n">
        <v>25.92</v>
      </c>
      <c r="J128" s="8" t="s">
        <v>493</v>
      </c>
      <c r="K128" s="81" t="n">
        <f aca="false">(INDEX(08_Annahmen!$D$22:$D$29,MATCH($H128,08_Annahmen!$B$22:$B$29,0))/MAX($I128,15))^INDEX(08_Annahmen!$E$22:$E$29,MATCH($H128,08_Annahmen!$B$22:$B$29,0))</f>
        <v>1.51975349520037</v>
      </c>
      <c r="L128" s="82" t="n">
        <f aca="false">INDEX(08_Annahmen!$C$22:$C$29,MATCH($H128,08_Annahmen!$B$22:$B$29,0))*$K128*(1+INDEX(08_Annahmen!$F$22:$F$29,MATCH($H128,08_Annahmen!$B$22:$B$29,0)))*(1+08_Annahmen!$C$9)*(1+08_Annahmen!$C$14)*IF($J128="ja",08_Annahmen!$C$12,1)</f>
        <v>670.785758204551</v>
      </c>
      <c r="M128" s="28" t="n">
        <f aca="false">$L128*$I128</f>
        <v>17386.766852662</v>
      </c>
      <c r="N128" s="28" t="n">
        <f aca="false">$M128/12</f>
        <v>1448.89723772183</v>
      </c>
    </row>
    <row r="129" customFormat="false" ht="15" hidden="false" customHeight="false" outlineLevel="0" collapsed="false">
      <c r="B129" s="8" t="n">
        <v>123</v>
      </c>
      <c r="C129" s="8" t="s">
        <v>238</v>
      </c>
      <c r="D129" s="8" t="s">
        <v>100</v>
      </c>
      <c r="E129" s="8" t="s">
        <v>131</v>
      </c>
      <c r="F129" s="8" t="s">
        <v>218</v>
      </c>
      <c r="G129" s="8" t="s">
        <v>128</v>
      </c>
      <c r="H129" s="8" t="s">
        <v>218</v>
      </c>
      <c r="I129" s="38" t="n">
        <v>52.22</v>
      </c>
      <c r="J129" s="8" t="s">
        <v>493</v>
      </c>
      <c r="K129" s="81" t="n">
        <f aca="false">(INDEX(08_Annahmen!$D$22:$D$29,MATCH($H129,08_Annahmen!$B$22:$B$29,0))/MAX($I129,15))^INDEX(08_Annahmen!$E$22:$E$29,MATCH($H129,08_Annahmen!$B$22:$B$29,0))</f>
        <v>1.22312423417</v>
      </c>
      <c r="L129" s="82" t="n">
        <f aca="false">INDEX(08_Annahmen!$C$22:$C$29,MATCH($H129,08_Annahmen!$B$22:$B$29,0))*$K129*(1+INDEX(08_Annahmen!$F$22:$F$29,MATCH($H129,08_Annahmen!$B$22:$B$29,0)))*(1+08_Annahmen!$C$9)*(1+08_Annahmen!$C$14)*IF($J129="ja",08_Annahmen!$C$12,1)</f>
        <v>539.860128229486</v>
      </c>
      <c r="M129" s="28" t="n">
        <f aca="false">$L129*$I129</f>
        <v>28191.4958961437</v>
      </c>
      <c r="N129" s="28" t="n">
        <f aca="false">$M129/12</f>
        <v>2349.29132467865</v>
      </c>
    </row>
    <row r="130" customFormat="false" ht="15" hidden="false" customHeight="false" outlineLevel="0" collapsed="false">
      <c r="B130" s="8" t="n">
        <v>124</v>
      </c>
      <c r="C130" s="8" t="s">
        <v>238</v>
      </c>
      <c r="D130" s="8" t="s">
        <v>100</v>
      </c>
      <c r="E130" s="8" t="s">
        <v>131</v>
      </c>
      <c r="F130" s="8" t="s">
        <v>218</v>
      </c>
      <c r="G130" s="8" t="s">
        <v>128</v>
      </c>
      <c r="H130" s="8" t="s">
        <v>218</v>
      </c>
      <c r="I130" s="38" t="n">
        <v>52.22</v>
      </c>
      <c r="J130" s="8" t="s">
        <v>493</v>
      </c>
      <c r="K130" s="81" t="n">
        <f aca="false">(INDEX(08_Annahmen!$D$22:$D$29,MATCH($H130,08_Annahmen!$B$22:$B$29,0))/MAX($I130,15))^INDEX(08_Annahmen!$E$22:$E$29,MATCH($H130,08_Annahmen!$B$22:$B$29,0))</f>
        <v>1.22312423417</v>
      </c>
      <c r="L130" s="82" t="n">
        <f aca="false">INDEX(08_Annahmen!$C$22:$C$29,MATCH($H130,08_Annahmen!$B$22:$B$29,0))*$K130*(1+INDEX(08_Annahmen!$F$22:$F$29,MATCH($H130,08_Annahmen!$B$22:$B$29,0)))*(1+08_Annahmen!$C$9)*(1+08_Annahmen!$C$14)*IF($J130="ja",08_Annahmen!$C$12,1)</f>
        <v>539.860128229486</v>
      </c>
      <c r="M130" s="28" t="n">
        <f aca="false">$L130*$I130</f>
        <v>28191.4958961437</v>
      </c>
      <c r="N130" s="28" t="n">
        <f aca="false">$M130/12</f>
        <v>2349.29132467865</v>
      </c>
    </row>
    <row r="131" customFormat="false" ht="15" hidden="false" customHeight="false" outlineLevel="0" collapsed="false">
      <c r="B131" s="8" t="n">
        <v>125</v>
      </c>
      <c r="C131" s="8" t="s">
        <v>238</v>
      </c>
      <c r="D131" s="8" t="s">
        <v>99</v>
      </c>
      <c r="E131" s="8" t="s">
        <v>124</v>
      </c>
      <c r="F131" s="8" t="s">
        <v>107</v>
      </c>
      <c r="G131" s="8" t="s">
        <v>125</v>
      </c>
      <c r="H131" s="8" t="s">
        <v>107</v>
      </c>
      <c r="I131" s="38" t="n">
        <v>511.77</v>
      </c>
      <c r="J131" s="8" t="s">
        <v>493</v>
      </c>
      <c r="K131" s="81" t="n">
        <f aca="false">(INDEX(08_Annahmen!$D$22:$D$29,MATCH($H131,08_Annahmen!$B$22:$B$29,0))/MAX($I131,15))^INDEX(08_Annahmen!$E$22:$E$29,MATCH($H131,08_Annahmen!$B$22:$B$29,0))</f>
        <v>0.842136131386505</v>
      </c>
      <c r="L131" s="82" t="n">
        <f aca="false">INDEX(08_Annahmen!$C$22:$C$29,MATCH($H131,08_Annahmen!$B$22:$B$29,0))*$K131*(1+INDEX(08_Annahmen!$F$22:$F$29,MATCH($H131,08_Annahmen!$B$22:$B$29,0)))*(1+08_Annahmen!$C$9)*(1+08_Annahmen!$C$14)*IF($J131="ja",08_Annahmen!$C$12,1)</f>
        <v>175.259160910191</v>
      </c>
      <c r="M131" s="28" t="n">
        <f aca="false">$L131*$I131</f>
        <v>89692.3807790082</v>
      </c>
      <c r="N131" s="28" t="n">
        <f aca="false">$M131/12</f>
        <v>7474.36506491735</v>
      </c>
    </row>
    <row r="132" customFormat="false" ht="15" hidden="false" customHeight="false" outlineLevel="0" collapsed="false">
      <c r="B132" s="8" t="n">
        <v>126</v>
      </c>
      <c r="C132" s="8" t="s">
        <v>238</v>
      </c>
      <c r="D132" s="8" t="s">
        <v>99</v>
      </c>
      <c r="E132" s="8" t="s">
        <v>124</v>
      </c>
      <c r="F132" s="8" t="s">
        <v>107</v>
      </c>
      <c r="G132" s="8" t="s">
        <v>126</v>
      </c>
      <c r="H132" s="8" t="s">
        <v>107</v>
      </c>
      <c r="I132" s="38" t="n">
        <v>506.14</v>
      </c>
      <c r="J132" s="8" t="s">
        <v>493</v>
      </c>
      <c r="K132" s="81" t="n">
        <f aca="false">(INDEX(08_Annahmen!$D$22:$D$29,MATCH($H132,08_Annahmen!$B$22:$B$29,0))/MAX($I132,15))^INDEX(08_Annahmen!$E$22:$E$29,MATCH($H132,08_Annahmen!$B$22:$B$29,0))</f>
        <v>0.843441340536296</v>
      </c>
      <c r="L132" s="82" t="n">
        <f aca="false">INDEX(08_Annahmen!$C$22:$C$29,MATCH($H132,08_Annahmen!$B$22:$B$29,0))*$K132*(1+INDEX(08_Annahmen!$F$22:$F$29,MATCH($H132,08_Annahmen!$B$22:$B$29,0)))*(1+08_Annahmen!$C$9)*(1+08_Annahmen!$C$14)*IF($J132="ja",08_Annahmen!$C$12,1)</f>
        <v>175.530791412528</v>
      </c>
      <c r="M132" s="28" t="n">
        <f aca="false">$L132*$I132</f>
        <v>88843.1547655367</v>
      </c>
      <c r="N132" s="28" t="n">
        <f aca="false">$M132/12</f>
        <v>7403.59623046139</v>
      </c>
    </row>
    <row r="133" customFormat="false" ht="15" hidden="false" customHeight="false" outlineLevel="0" collapsed="false">
      <c r="B133" s="8" t="n">
        <v>127</v>
      </c>
      <c r="C133" s="8" t="s">
        <v>238</v>
      </c>
      <c r="D133" s="8" t="s">
        <v>99</v>
      </c>
      <c r="E133" s="8" t="s">
        <v>124</v>
      </c>
      <c r="F133" s="8" t="s">
        <v>107</v>
      </c>
      <c r="G133" s="8" t="s">
        <v>127</v>
      </c>
      <c r="H133" s="8" t="s">
        <v>107</v>
      </c>
      <c r="I133" s="38" t="n">
        <v>459.06</v>
      </c>
      <c r="J133" s="8" t="s">
        <v>493</v>
      </c>
      <c r="K133" s="81" t="n">
        <f aca="false">(INDEX(08_Annahmen!$D$22:$D$29,MATCH($H133,08_Annahmen!$B$22:$B$29,0))/MAX($I133,15))^INDEX(08_Annahmen!$E$22:$E$29,MATCH($H133,08_Annahmen!$B$22:$B$29,0))</f>
        <v>0.855049097521277</v>
      </c>
      <c r="L133" s="82" t="n">
        <f aca="false">INDEX(08_Annahmen!$C$22:$C$29,MATCH($H133,08_Annahmen!$B$22:$B$29,0))*$K133*(1+INDEX(08_Annahmen!$F$22:$F$29,MATCH($H133,08_Annahmen!$B$22:$B$29,0)))*(1+08_Annahmen!$C$9)*(1+08_Annahmen!$C$14)*IF($J133="ja",08_Annahmen!$C$12,1)</f>
        <v>177.946512189034</v>
      </c>
      <c r="M133" s="28" t="n">
        <f aca="false">$L133*$I133</f>
        <v>81688.1258854979</v>
      </c>
      <c r="N133" s="28" t="n">
        <f aca="false">$M133/12</f>
        <v>6807.34382379149</v>
      </c>
    </row>
    <row r="134" customFormat="false" ht="15" hidden="false" customHeight="false" outlineLevel="0" collapsed="false">
      <c r="B134" s="8" t="n">
        <v>128</v>
      </c>
      <c r="C134" s="8" t="s">
        <v>238</v>
      </c>
      <c r="D134" s="8" t="s">
        <v>99</v>
      </c>
      <c r="E134" s="8" t="s">
        <v>124</v>
      </c>
      <c r="F134" s="8" t="s">
        <v>107</v>
      </c>
      <c r="G134" s="8" t="s">
        <v>128</v>
      </c>
      <c r="H134" s="8" t="s">
        <v>107</v>
      </c>
      <c r="I134" s="38" t="n">
        <v>113.4</v>
      </c>
      <c r="J134" s="8" t="s">
        <v>493</v>
      </c>
      <c r="K134" s="81" t="n">
        <f aca="false">(INDEX(08_Annahmen!$D$22:$D$29,MATCH($H134,08_Annahmen!$B$22:$B$29,0))/MAX($I134,15))^INDEX(08_Annahmen!$E$22:$E$29,MATCH($H134,08_Annahmen!$B$22:$B$29,0))</f>
        <v>1.03993680448876</v>
      </c>
      <c r="L134" s="82" t="n">
        <f aca="false">INDEX(08_Annahmen!$C$22:$C$29,MATCH($H134,08_Annahmen!$B$22:$B$29,0))*$K134*(1+INDEX(08_Annahmen!$F$22:$F$29,MATCH($H134,08_Annahmen!$B$22:$B$29,0)))*(1+08_Annahmen!$C$9)*(1+08_Annahmen!$C$14)*IF($J134="ja",08_Annahmen!$C$12,1)</f>
        <v>216.423978216268</v>
      </c>
      <c r="M134" s="28" t="n">
        <f aca="false">$L134*$I134</f>
        <v>24542.4791297247</v>
      </c>
      <c r="N134" s="28" t="n">
        <f aca="false">$M134/12</f>
        <v>2045.20659414373</v>
      </c>
    </row>
    <row r="135" customFormat="false" ht="15" hidden="false" customHeight="false" outlineLevel="0" collapsed="false">
      <c r="B135" s="8" t="n">
        <v>129</v>
      </c>
      <c r="C135" s="8" t="s">
        <v>238</v>
      </c>
      <c r="D135" s="8" t="s">
        <v>99</v>
      </c>
      <c r="E135" s="8" t="s">
        <v>129</v>
      </c>
      <c r="F135" s="8" t="s">
        <v>130</v>
      </c>
      <c r="G135" s="8" t="s">
        <v>125</v>
      </c>
      <c r="H135" s="8" t="s">
        <v>130</v>
      </c>
      <c r="I135" s="38" t="n">
        <v>43.05</v>
      </c>
      <c r="J135" s="8" t="s">
        <v>493</v>
      </c>
      <c r="K135" s="81" t="n">
        <f aca="false">(INDEX(08_Annahmen!$D$22:$D$29,MATCH($H135,08_Annahmen!$B$22:$B$29,0))/MAX($I135,15))^INDEX(08_Annahmen!$E$22:$E$29,MATCH($H135,08_Annahmen!$B$22:$B$29,0))</f>
        <v>1.19095824245933</v>
      </c>
      <c r="L135" s="82" t="n">
        <f aca="false">INDEX(08_Annahmen!$C$22:$C$29,MATCH($H135,08_Annahmen!$B$22:$B$29,0))*$K135*(1+INDEX(08_Annahmen!$F$22:$F$29,MATCH($H135,08_Annahmen!$B$22:$B$29,0)))*(1+08_Annahmen!$C$9)*(1+08_Annahmen!$C$14)*IF($J135="ja",08_Annahmen!$C$12,1)</f>
        <v>268.558701758094</v>
      </c>
      <c r="M135" s="28" t="n">
        <f aca="false">$L135*$I135</f>
        <v>11561.452110686</v>
      </c>
      <c r="N135" s="28" t="n">
        <f aca="false">$M135/12</f>
        <v>963.454342557163</v>
      </c>
    </row>
    <row r="136" customFormat="false" ht="15" hidden="false" customHeight="false" outlineLevel="0" collapsed="false">
      <c r="B136" s="8" t="n">
        <v>130</v>
      </c>
      <c r="C136" s="8" t="s">
        <v>238</v>
      </c>
      <c r="D136" s="8" t="s">
        <v>99</v>
      </c>
      <c r="E136" s="8" t="s">
        <v>129</v>
      </c>
      <c r="F136" s="8" t="s">
        <v>130</v>
      </c>
      <c r="G136" s="8" t="s">
        <v>125</v>
      </c>
      <c r="H136" s="8" t="s">
        <v>130</v>
      </c>
      <c r="I136" s="38" t="n">
        <v>43.05</v>
      </c>
      <c r="J136" s="8" t="s">
        <v>493</v>
      </c>
      <c r="K136" s="81" t="n">
        <f aca="false">(INDEX(08_Annahmen!$D$22:$D$29,MATCH($H136,08_Annahmen!$B$22:$B$29,0))/MAX($I136,15))^INDEX(08_Annahmen!$E$22:$E$29,MATCH($H136,08_Annahmen!$B$22:$B$29,0))</f>
        <v>1.19095824245933</v>
      </c>
      <c r="L136" s="82" t="n">
        <f aca="false">INDEX(08_Annahmen!$C$22:$C$29,MATCH($H136,08_Annahmen!$B$22:$B$29,0))*$K136*(1+INDEX(08_Annahmen!$F$22:$F$29,MATCH($H136,08_Annahmen!$B$22:$B$29,0)))*(1+08_Annahmen!$C$9)*(1+08_Annahmen!$C$14)*IF($J136="ja",08_Annahmen!$C$12,1)</f>
        <v>268.558701758094</v>
      </c>
      <c r="M136" s="28" t="n">
        <f aca="false">$L136*$I136</f>
        <v>11561.452110686</v>
      </c>
      <c r="N136" s="28" t="n">
        <f aca="false">$M136/12</f>
        <v>963.454342557163</v>
      </c>
    </row>
    <row r="137" customFormat="false" ht="15" hidden="false" customHeight="false" outlineLevel="0" collapsed="false">
      <c r="B137" s="8" t="n">
        <v>131</v>
      </c>
      <c r="C137" s="8" t="s">
        <v>238</v>
      </c>
      <c r="D137" s="8" t="s">
        <v>99</v>
      </c>
      <c r="E137" s="8" t="s">
        <v>129</v>
      </c>
      <c r="F137" s="8" t="s">
        <v>130</v>
      </c>
      <c r="G137" s="8" t="s">
        <v>125</v>
      </c>
      <c r="H137" s="8" t="s">
        <v>130</v>
      </c>
      <c r="I137" s="38" t="n">
        <v>43.05</v>
      </c>
      <c r="J137" s="8" t="s">
        <v>493</v>
      </c>
      <c r="K137" s="81" t="n">
        <f aca="false">(INDEX(08_Annahmen!$D$22:$D$29,MATCH($H137,08_Annahmen!$B$22:$B$29,0))/MAX($I137,15))^INDEX(08_Annahmen!$E$22:$E$29,MATCH($H137,08_Annahmen!$B$22:$B$29,0))</f>
        <v>1.19095824245933</v>
      </c>
      <c r="L137" s="82" t="n">
        <f aca="false">INDEX(08_Annahmen!$C$22:$C$29,MATCH($H137,08_Annahmen!$B$22:$B$29,0))*$K137*(1+INDEX(08_Annahmen!$F$22:$F$29,MATCH($H137,08_Annahmen!$B$22:$B$29,0)))*(1+08_Annahmen!$C$9)*(1+08_Annahmen!$C$14)*IF($J137="ja",08_Annahmen!$C$12,1)</f>
        <v>268.558701758094</v>
      </c>
      <c r="M137" s="28" t="n">
        <f aca="false">$L137*$I137</f>
        <v>11561.452110686</v>
      </c>
      <c r="N137" s="28" t="n">
        <f aca="false">$M137/12</f>
        <v>963.454342557163</v>
      </c>
    </row>
    <row r="138" customFormat="false" ht="15" hidden="false" customHeight="false" outlineLevel="0" collapsed="false">
      <c r="B138" s="8" t="n">
        <v>132</v>
      </c>
      <c r="C138" s="8" t="s">
        <v>238</v>
      </c>
      <c r="D138" s="8" t="s">
        <v>99</v>
      </c>
      <c r="E138" s="8" t="s">
        <v>129</v>
      </c>
      <c r="F138" s="8" t="s">
        <v>130</v>
      </c>
      <c r="G138" s="8" t="s">
        <v>125</v>
      </c>
      <c r="H138" s="8" t="s">
        <v>130</v>
      </c>
      <c r="I138" s="38" t="n">
        <v>43.05</v>
      </c>
      <c r="J138" s="8" t="s">
        <v>493</v>
      </c>
      <c r="K138" s="81" t="n">
        <f aca="false">(INDEX(08_Annahmen!$D$22:$D$29,MATCH($H138,08_Annahmen!$B$22:$B$29,0))/MAX($I138,15))^INDEX(08_Annahmen!$E$22:$E$29,MATCH($H138,08_Annahmen!$B$22:$B$29,0))</f>
        <v>1.19095824245933</v>
      </c>
      <c r="L138" s="82" t="n">
        <f aca="false">INDEX(08_Annahmen!$C$22:$C$29,MATCH($H138,08_Annahmen!$B$22:$B$29,0))*$K138*(1+INDEX(08_Annahmen!$F$22:$F$29,MATCH($H138,08_Annahmen!$B$22:$B$29,0)))*(1+08_Annahmen!$C$9)*(1+08_Annahmen!$C$14)*IF($J138="ja",08_Annahmen!$C$12,1)</f>
        <v>268.558701758094</v>
      </c>
      <c r="M138" s="28" t="n">
        <f aca="false">$L138*$I138</f>
        <v>11561.452110686</v>
      </c>
      <c r="N138" s="28" t="n">
        <f aca="false">$M138/12</f>
        <v>963.454342557163</v>
      </c>
    </row>
    <row r="139" customFormat="false" ht="15" hidden="false" customHeight="false" outlineLevel="0" collapsed="false">
      <c r="B139" s="8" t="n">
        <v>133</v>
      </c>
      <c r="C139" s="8" t="s">
        <v>238</v>
      </c>
      <c r="D139" s="8" t="s">
        <v>99</v>
      </c>
      <c r="E139" s="8" t="s">
        <v>129</v>
      </c>
      <c r="F139" s="8" t="s">
        <v>130</v>
      </c>
      <c r="G139" s="8" t="s">
        <v>126</v>
      </c>
      <c r="H139" s="8" t="s">
        <v>130</v>
      </c>
      <c r="I139" s="38" t="n">
        <v>42.55</v>
      </c>
      <c r="J139" s="8" t="s">
        <v>493</v>
      </c>
      <c r="K139" s="81" t="n">
        <f aca="false">(INDEX(08_Annahmen!$D$22:$D$29,MATCH($H139,08_Annahmen!$B$22:$B$29,0))/MAX($I139,15))^INDEX(08_Annahmen!$E$22:$E$29,MATCH($H139,08_Annahmen!$B$22:$B$29,0))</f>
        <v>1.1929076872692</v>
      </c>
      <c r="L139" s="82" t="n">
        <f aca="false">INDEX(08_Annahmen!$C$22:$C$29,MATCH($H139,08_Annahmen!$B$22:$B$29,0))*$K139*(1+INDEX(08_Annahmen!$F$22:$F$29,MATCH($H139,08_Annahmen!$B$22:$B$29,0)))*(1+08_Annahmen!$C$9)*(1+08_Annahmen!$C$14)*IF($J139="ja",08_Annahmen!$C$12,1)</f>
        <v>268.998297663829</v>
      </c>
      <c r="M139" s="28" t="n">
        <f aca="false">$L139*$I139</f>
        <v>11445.8775655959</v>
      </c>
      <c r="N139" s="28" t="n">
        <f aca="false">$M139/12</f>
        <v>953.823130466328</v>
      </c>
    </row>
    <row r="140" customFormat="false" ht="15" hidden="false" customHeight="false" outlineLevel="0" collapsed="false">
      <c r="B140" s="8" t="n">
        <v>134</v>
      </c>
      <c r="C140" s="8" t="s">
        <v>238</v>
      </c>
      <c r="D140" s="8" t="s">
        <v>99</v>
      </c>
      <c r="E140" s="8" t="s">
        <v>129</v>
      </c>
      <c r="F140" s="8" t="s">
        <v>130</v>
      </c>
      <c r="G140" s="8" t="s">
        <v>126</v>
      </c>
      <c r="H140" s="8" t="s">
        <v>130</v>
      </c>
      <c r="I140" s="38" t="n">
        <v>42.55</v>
      </c>
      <c r="J140" s="8" t="s">
        <v>493</v>
      </c>
      <c r="K140" s="81" t="n">
        <f aca="false">(INDEX(08_Annahmen!$D$22:$D$29,MATCH($H140,08_Annahmen!$B$22:$B$29,0))/MAX($I140,15))^INDEX(08_Annahmen!$E$22:$E$29,MATCH($H140,08_Annahmen!$B$22:$B$29,0))</f>
        <v>1.1929076872692</v>
      </c>
      <c r="L140" s="82" t="n">
        <f aca="false">INDEX(08_Annahmen!$C$22:$C$29,MATCH($H140,08_Annahmen!$B$22:$B$29,0))*$K140*(1+INDEX(08_Annahmen!$F$22:$F$29,MATCH($H140,08_Annahmen!$B$22:$B$29,0)))*(1+08_Annahmen!$C$9)*(1+08_Annahmen!$C$14)*IF($J140="ja",08_Annahmen!$C$12,1)</f>
        <v>268.998297663829</v>
      </c>
      <c r="M140" s="28" t="n">
        <f aca="false">$L140*$I140</f>
        <v>11445.8775655959</v>
      </c>
      <c r="N140" s="28" t="n">
        <f aca="false">$M140/12</f>
        <v>953.823130466328</v>
      </c>
    </row>
    <row r="141" customFormat="false" ht="15" hidden="false" customHeight="false" outlineLevel="0" collapsed="false">
      <c r="B141" s="8" t="n">
        <v>135</v>
      </c>
      <c r="C141" s="8" t="s">
        <v>238</v>
      </c>
      <c r="D141" s="8" t="s">
        <v>99</v>
      </c>
      <c r="E141" s="8" t="s">
        <v>129</v>
      </c>
      <c r="F141" s="8" t="s">
        <v>130</v>
      </c>
      <c r="G141" s="8" t="s">
        <v>126</v>
      </c>
      <c r="H141" s="8" t="s">
        <v>130</v>
      </c>
      <c r="I141" s="38" t="n">
        <v>42.55</v>
      </c>
      <c r="J141" s="8" t="s">
        <v>493</v>
      </c>
      <c r="K141" s="81" t="n">
        <f aca="false">(INDEX(08_Annahmen!$D$22:$D$29,MATCH($H141,08_Annahmen!$B$22:$B$29,0))/MAX($I141,15))^INDEX(08_Annahmen!$E$22:$E$29,MATCH($H141,08_Annahmen!$B$22:$B$29,0))</f>
        <v>1.1929076872692</v>
      </c>
      <c r="L141" s="82" t="n">
        <f aca="false">INDEX(08_Annahmen!$C$22:$C$29,MATCH($H141,08_Annahmen!$B$22:$B$29,0))*$K141*(1+INDEX(08_Annahmen!$F$22:$F$29,MATCH($H141,08_Annahmen!$B$22:$B$29,0)))*(1+08_Annahmen!$C$9)*(1+08_Annahmen!$C$14)*IF($J141="ja",08_Annahmen!$C$12,1)</f>
        <v>268.998297663829</v>
      </c>
      <c r="M141" s="28" t="n">
        <f aca="false">$L141*$I141</f>
        <v>11445.8775655959</v>
      </c>
      <c r="N141" s="28" t="n">
        <f aca="false">$M141/12</f>
        <v>953.823130466328</v>
      </c>
    </row>
    <row r="142" customFormat="false" ht="15" hidden="false" customHeight="false" outlineLevel="0" collapsed="false">
      <c r="B142" s="8" t="n">
        <v>136</v>
      </c>
      <c r="C142" s="8" t="s">
        <v>238</v>
      </c>
      <c r="D142" s="8" t="s">
        <v>99</v>
      </c>
      <c r="E142" s="8" t="s">
        <v>129</v>
      </c>
      <c r="F142" s="8" t="s">
        <v>130</v>
      </c>
      <c r="G142" s="8" t="s">
        <v>126</v>
      </c>
      <c r="H142" s="8" t="s">
        <v>130</v>
      </c>
      <c r="I142" s="38" t="n">
        <v>42.55</v>
      </c>
      <c r="J142" s="8" t="s">
        <v>493</v>
      </c>
      <c r="K142" s="81" t="n">
        <f aca="false">(INDEX(08_Annahmen!$D$22:$D$29,MATCH($H142,08_Annahmen!$B$22:$B$29,0))/MAX($I142,15))^INDEX(08_Annahmen!$E$22:$E$29,MATCH($H142,08_Annahmen!$B$22:$B$29,0))</f>
        <v>1.1929076872692</v>
      </c>
      <c r="L142" s="82" t="n">
        <f aca="false">INDEX(08_Annahmen!$C$22:$C$29,MATCH($H142,08_Annahmen!$B$22:$B$29,0))*$K142*(1+INDEX(08_Annahmen!$F$22:$F$29,MATCH($H142,08_Annahmen!$B$22:$B$29,0)))*(1+08_Annahmen!$C$9)*(1+08_Annahmen!$C$14)*IF($J142="ja",08_Annahmen!$C$12,1)</f>
        <v>268.998297663829</v>
      </c>
      <c r="M142" s="28" t="n">
        <f aca="false">$L142*$I142</f>
        <v>11445.8775655959</v>
      </c>
      <c r="N142" s="28" t="n">
        <f aca="false">$M142/12</f>
        <v>953.823130466328</v>
      </c>
    </row>
    <row r="143" customFormat="false" ht="15" hidden="false" customHeight="false" outlineLevel="0" collapsed="false">
      <c r="B143" s="8" t="n">
        <v>137</v>
      </c>
      <c r="C143" s="8" t="s">
        <v>238</v>
      </c>
      <c r="D143" s="8" t="s">
        <v>99</v>
      </c>
      <c r="E143" s="8" t="s">
        <v>129</v>
      </c>
      <c r="F143" s="8" t="s">
        <v>130</v>
      </c>
      <c r="G143" s="8" t="s">
        <v>127</v>
      </c>
      <c r="H143" s="8" t="s">
        <v>130</v>
      </c>
      <c r="I143" s="38" t="n">
        <v>41.95</v>
      </c>
      <c r="J143" s="8" t="s">
        <v>493</v>
      </c>
      <c r="K143" s="81" t="n">
        <f aca="false">(INDEX(08_Annahmen!$D$22:$D$29,MATCH($H143,08_Annahmen!$B$22:$B$29,0))/MAX($I143,15))^INDEX(08_Annahmen!$E$22:$E$29,MATCH($H143,08_Annahmen!$B$22:$B$29,0))</f>
        <v>1.19528178456027</v>
      </c>
      <c r="L143" s="82" t="n">
        <f aca="false">INDEX(08_Annahmen!$C$22:$C$29,MATCH($H143,08_Annahmen!$B$22:$B$29,0))*$K143*(1+INDEX(08_Annahmen!$F$22:$F$29,MATCH($H143,08_Annahmen!$B$22:$B$29,0)))*(1+08_Annahmen!$C$9)*(1+08_Annahmen!$C$14)*IF($J143="ja",08_Annahmen!$C$12,1)</f>
        <v>269.533651854772</v>
      </c>
      <c r="M143" s="28" t="n">
        <f aca="false">$L143*$I143</f>
        <v>11306.9366953077</v>
      </c>
      <c r="N143" s="28" t="n">
        <f aca="false">$M143/12</f>
        <v>942.244724608972</v>
      </c>
    </row>
    <row r="144" customFormat="false" ht="15" hidden="false" customHeight="false" outlineLevel="0" collapsed="false">
      <c r="B144" s="8" t="n">
        <v>138</v>
      </c>
      <c r="C144" s="8" t="s">
        <v>238</v>
      </c>
      <c r="D144" s="8" t="s">
        <v>99</v>
      </c>
      <c r="E144" s="8" t="s">
        <v>129</v>
      </c>
      <c r="F144" s="8" t="s">
        <v>130</v>
      </c>
      <c r="G144" s="8" t="s">
        <v>127</v>
      </c>
      <c r="H144" s="8" t="s">
        <v>130</v>
      </c>
      <c r="I144" s="38" t="n">
        <v>41.95</v>
      </c>
      <c r="J144" s="8" t="s">
        <v>493</v>
      </c>
      <c r="K144" s="81" t="n">
        <f aca="false">(INDEX(08_Annahmen!$D$22:$D$29,MATCH($H144,08_Annahmen!$B$22:$B$29,0))/MAX($I144,15))^INDEX(08_Annahmen!$E$22:$E$29,MATCH($H144,08_Annahmen!$B$22:$B$29,0))</f>
        <v>1.19528178456027</v>
      </c>
      <c r="L144" s="82" t="n">
        <f aca="false">INDEX(08_Annahmen!$C$22:$C$29,MATCH($H144,08_Annahmen!$B$22:$B$29,0))*$K144*(1+INDEX(08_Annahmen!$F$22:$F$29,MATCH($H144,08_Annahmen!$B$22:$B$29,0)))*(1+08_Annahmen!$C$9)*(1+08_Annahmen!$C$14)*IF($J144="ja",08_Annahmen!$C$12,1)</f>
        <v>269.533651854772</v>
      </c>
      <c r="M144" s="28" t="n">
        <f aca="false">$L144*$I144</f>
        <v>11306.9366953077</v>
      </c>
      <c r="N144" s="28" t="n">
        <f aca="false">$M144/12</f>
        <v>942.244724608972</v>
      </c>
    </row>
    <row r="145" customFormat="false" ht="15" hidden="false" customHeight="false" outlineLevel="0" collapsed="false">
      <c r="B145" s="8" t="n">
        <v>139</v>
      </c>
      <c r="C145" s="8" t="s">
        <v>238</v>
      </c>
      <c r="D145" s="8" t="s">
        <v>99</v>
      </c>
      <c r="E145" s="8" t="s">
        <v>129</v>
      </c>
      <c r="F145" s="8" t="s">
        <v>130</v>
      </c>
      <c r="G145" s="8" t="s">
        <v>127</v>
      </c>
      <c r="H145" s="8" t="s">
        <v>130</v>
      </c>
      <c r="I145" s="38" t="n">
        <v>41.95</v>
      </c>
      <c r="J145" s="8" t="s">
        <v>493</v>
      </c>
      <c r="K145" s="81" t="n">
        <f aca="false">(INDEX(08_Annahmen!$D$22:$D$29,MATCH($H145,08_Annahmen!$B$22:$B$29,0))/MAX($I145,15))^INDEX(08_Annahmen!$E$22:$E$29,MATCH($H145,08_Annahmen!$B$22:$B$29,0))</f>
        <v>1.19528178456027</v>
      </c>
      <c r="L145" s="82" t="n">
        <f aca="false">INDEX(08_Annahmen!$C$22:$C$29,MATCH($H145,08_Annahmen!$B$22:$B$29,0))*$K145*(1+INDEX(08_Annahmen!$F$22:$F$29,MATCH($H145,08_Annahmen!$B$22:$B$29,0)))*(1+08_Annahmen!$C$9)*(1+08_Annahmen!$C$14)*IF($J145="ja",08_Annahmen!$C$12,1)</f>
        <v>269.533651854772</v>
      </c>
      <c r="M145" s="28" t="n">
        <f aca="false">$L145*$I145</f>
        <v>11306.9366953077</v>
      </c>
      <c r="N145" s="28" t="n">
        <f aca="false">$M145/12</f>
        <v>942.244724608972</v>
      </c>
    </row>
    <row r="146" customFormat="false" ht="15" hidden="false" customHeight="false" outlineLevel="0" collapsed="false">
      <c r="B146" s="8" t="n">
        <v>140</v>
      </c>
      <c r="C146" s="8" t="s">
        <v>238</v>
      </c>
      <c r="D146" s="8" t="s">
        <v>99</v>
      </c>
      <c r="E146" s="8" t="s">
        <v>129</v>
      </c>
      <c r="F146" s="8" t="s">
        <v>130</v>
      </c>
      <c r="G146" s="8" t="s">
        <v>127</v>
      </c>
      <c r="H146" s="8" t="s">
        <v>130</v>
      </c>
      <c r="I146" s="38" t="n">
        <v>41.95</v>
      </c>
      <c r="J146" s="8" t="s">
        <v>493</v>
      </c>
      <c r="K146" s="81" t="n">
        <f aca="false">(INDEX(08_Annahmen!$D$22:$D$29,MATCH($H146,08_Annahmen!$B$22:$B$29,0))/MAX($I146,15))^INDEX(08_Annahmen!$E$22:$E$29,MATCH($H146,08_Annahmen!$B$22:$B$29,0))</f>
        <v>1.19528178456027</v>
      </c>
      <c r="L146" s="82" t="n">
        <f aca="false">INDEX(08_Annahmen!$C$22:$C$29,MATCH($H146,08_Annahmen!$B$22:$B$29,0))*$K146*(1+INDEX(08_Annahmen!$F$22:$F$29,MATCH($H146,08_Annahmen!$B$22:$B$29,0)))*(1+08_Annahmen!$C$9)*(1+08_Annahmen!$C$14)*IF($J146="ja",08_Annahmen!$C$12,1)</f>
        <v>269.533651854772</v>
      </c>
      <c r="M146" s="28" t="n">
        <f aca="false">$L146*$I146</f>
        <v>11306.9366953077</v>
      </c>
      <c r="N146" s="28" t="n">
        <f aca="false">$M146/12</f>
        <v>942.244724608972</v>
      </c>
    </row>
    <row r="147" customFormat="false" ht="15" hidden="false" customHeight="false" outlineLevel="0" collapsed="false">
      <c r="B147" s="8" t="n">
        <v>141</v>
      </c>
      <c r="C147" s="8" t="s">
        <v>238</v>
      </c>
      <c r="D147" s="8" t="s">
        <v>99</v>
      </c>
      <c r="E147" s="8" t="s">
        <v>129</v>
      </c>
      <c r="F147" s="8" t="s">
        <v>130</v>
      </c>
      <c r="G147" s="8" t="s">
        <v>127</v>
      </c>
      <c r="H147" s="8" t="s">
        <v>130</v>
      </c>
      <c r="I147" s="38" t="n">
        <v>41.95</v>
      </c>
      <c r="J147" s="8" t="s">
        <v>493</v>
      </c>
      <c r="K147" s="81" t="n">
        <f aca="false">(INDEX(08_Annahmen!$D$22:$D$29,MATCH($H147,08_Annahmen!$B$22:$B$29,0))/MAX($I147,15))^INDEX(08_Annahmen!$E$22:$E$29,MATCH($H147,08_Annahmen!$B$22:$B$29,0))</f>
        <v>1.19528178456027</v>
      </c>
      <c r="L147" s="82" t="n">
        <f aca="false">INDEX(08_Annahmen!$C$22:$C$29,MATCH($H147,08_Annahmen!$B$22:$B$29,0))*$K147*(1+INDEX(08_Annahmen!$F$22:$F$29,MATCH($H147,08_Annahmen!$B$22:$B$29,0)))*(1+08_Annahmen!$C$9)*(1+08_Annahmen!$C$14)*IF($J147="ja",08_Annahmen!$C$12,1)</f>
        <v>269.533651854772</v>
      </c>
      <c r="M147" s="28" t="n">
        <f aca="false">$L147*$I147</f>
        <v>11306.9366953077</v>
      </c>
      <c r="N147" s="28" t="n">
        <f aca="false">$M147/12</f>
        <v>942.244724608972</v>
      </c>
    </row>
    <row r="148" customFormat="false" ht="15" hidden="false" customHeight="false" outlineLevel="0" collapsed="false">
      <c r="B148" s="8" t="n">
        <v>142</v>
      </c>
      <c r="C148" s="8" t="s">
        <v>238</v>
      </c>
      <c r="D148" s="8" t="s">
        <v>99</v>
      </c>
      <c r="E148" s="8" t="s">
        <v>129</v>
      </c>
      <c r="F148" s="8" t="s">
        <v>130</v>
      </c>
      <c r="G148" s="8" t="s">
        <v>127</v>
      </c>
      <c r="H148" s="8" t="s">
        <v>130</v>
      </c>
      <c r="I148" s="38" t="n">
        <v>41.95</v>
      </c>
      <c r="J148" s="8" t="s">
        <v>493</v>
      </c>
      <c r="K148" s="81" t="n">
        <f aca="false">(INDEX(08_Annahmen!$D$22:$D$29,MATCH($H148,08_Annahmen!$B$22:$B$29,0))/MAX($I148,15))^INDEX(08_Annahmen!$E$22:$E$29,MATCH($H148,08_Annahmen!$B$22:$B$29,0))</f>
        <v>1.19528178456027</v>
      </c>
      <c r="L148" s="82" t="n">
        <f aca="false">INDEX(08_Annahmen!$C$22:$C$29,MATCH($H148,08_Annahmen!$B$22:$B$29,0))*$K148*(1+INDEX(08_Annahmen!$F$22:$F$29,MATCH($H148,08_Annahmen!$B$22:$B$29,0)))*(1+08_Annahmen!$C$9)*(1+08_Annahmen!$C$14)*IF($J148="ja",08_Annahmen!$C$12,1)</f>
        <v>269.533651854772</v>
      </c>
      <c r="M148" s="28" t="n">
        <f aca="false">$L148*$I148</f>
        <v>11306.9366953077</v>
      </c>
      <c r="N148" s="28" t="n">
        <f aca="false">$M148/12</f>
        <v>942.244724608972</v>
      </c>
    </row>
    <row r="149" customFormat="false" ht="15" hidden="false" customHeight="false" outlineLevel="0" collapsed="false">
      <c r="B149" s="8" t="n">
        <v>143</v>
      </c>
      <c r="C149" s="8" t="s">
        <v>238</v>
      </c>
      <c r="D149" s="8" t="s">
        <v>99</v>
      </c>
      <c r="E149" s="8" t="s">
        <v>129</v>
      </c>
      <c r="F149" s="8" t="s">
        <v>130</v>
      </c>
      <c r="G149" s="8" t="s">
        <v>127</v>
      </c>
      <c r="H149" s="8" t="s">
        <v>130</v>
      </c>
      <c r="I149" s="38" t="n">
        <v>41.95</v>
      </c>
      <c r="J149" s="8" t="s">
        <v>493</v>
      </c>
      <c r="K149" s="81" t="n">
        <f aca="false">(INDEX(08_Annahmen!$D$22:$D$29,MATCH($H149,08_Annahmen!$B$22:$B$29,0))/MAX($I149,15))^INDEX(08_Annahmen!$E$22:$E$29,MATCH($H149,08_Annahmen!$B$22:$B$29,0))</f>
        <v>1.19528178456027</v>
      </c>
      <c r="L149" s="82" t="n">
        <f aca="false">INDEX(08_Annahmen!$C$22:$C$29,MATCH($H149,08_Annahmen!$B$22:$B$29,0))*$K149*(1+INDEX(08_Annahmen!$F$22:$F$29,MATCH($H149,08_Annahmen!$B$22:$B$29,0)))*(1+08_Annahmen!$C$9)*(1+08_Annahmen!$C$14)*IF($J149="ja",08_Annahmen!$C$12,1)</f>
        <v>269.533651854772</v>
      </c>
      <c r="M149" s="28" t="n">
        <f aca="false">$L149*$I149</f>
        <v>11306.9366953077</v>
      </c>
      <c r="N149" s="28" t="n">
        <f aca="false">$M149/12</f>
        <v>942.244724608972</v>
      </c>
    </row>
    <row r="150" customFormat="false" ht="15" hidden="false" customHeight="false" outlineLevel="0" collapsed="false">
      <c r="B150" s="8" t="n">
        <v>144</v>
      </c>
      <c r="C150" s="8" t="s">
        <v>238</v>
      </c>
      <c r="D150" s="8" t="s">
        <v>99</v>
      </c>
      <c r="E150" s="8" t="s">
        <v>129</v>
      </c>
      <c r="F150" s="8" t="s">
        <v>130</v>
      </c>
      <c r="G150" s="8" t="s">
        <v>127</v>
      </c>
      <c r="H150" s="8" t="s">
        <v>130</v>
      </c>
      <c r="I150" s="38" t="n">
        <v>41.95</v>
      </c>
      <c r="J150" s="8" t="s">
        <v>493</v>
      </c>
      <c r="K150" s="81" t="n">
        <f aca="false">(INDEX(08_Annahmen!$D$22:$D$29,MATCH($H150,08_Annahmen!$B$22:$B$29,0))/MAX($I150,15))^INDEX(08_Annahmen!$E$22:$E$29,MATCH($H150,08_Annahmen!$B$22:$B$29,0))</f>
        <v>1.19528178456027</v>
      </c>
      <c r="L150" s="82" t="n">
        <f aca="false">INDEX(08_Annahmen!$C$22:$C$29,MATCH($H150,08_Annahmen!$B$22:$B$29,0))*$K150*(1+INDEX(08_Annahmen!$F$22:$F$29,MATCH($H150,08_Annahmen!$B$22:$B$29,0)))*(1+08_Annahmen!$C$9)*(1+08_Annahmen!$C$14)*IF($J150="ja",08_Annahmen!$C$12,1)</f>
        <v>269.533651854772</v>
      </c>
      <c r="M150" s="28" t="n">
        <f aca="false">$L150*$I150</f>
        <v>11306.9366953077</v>
      </c>
      <c r="N150" s="28" t="n">
        <f aca="false">$M150/12</f>
        <v>942.244724608972</v>
      </c>
    </row>
    <row r="151" customFormat="false" ht="15" hidden="false" customHeight="false" outlineLevel="0" collapsed="false">
      <c r="B151" s="8" t="n">
        <v>145</v>
      </c>
      <c r="C151" s="8" t="s">
        <v>238</v>
      </c>
      <c r="D151" s="8" t="s">
        <v>99</v>
      </c>
      <c r="E151" s="8" t="s">
        <v>129</v>
      </c>
      <c r="F151" s="8" t="s">
        <v>130</v>
      </c>
      <c r="G151" s="8" t="s">
        <v>128</v>
      </c>
      <c r="H151" s="8" t="s">
        <v>130</v>
      </c>
      <c r="I151" s="38" t="n">
        <v>26.09</v>
      </c>
      <c r="J151" s="8" t="s">
        <v>493</v>
      </c>
      <c r="K151" s="81" t="n">
        <f aca="false">(INDEX(08_Annahmen!$D$22:$D$29,MATCH($H151,08_Annahmen!$B$22:$B$29,0))/MAX($I151,15))^INDEX(08_Annahmen!$E$22:$E$29,MATCH($H151,08_Annahmen!$B$22:$B$29,0))</f>
        <v>1.27745733757397</v>
      </c>
      <c r="L151" s="82" t="n">
        <f aca="false">INDEX(08_Annahmen!$C$22:$C$29,MATCH($H151,08_Annahmen!$B$22:$B$29,0))*$K151*(1+INDEX(08_Annahmen!$F$22:$F$29,MATCH($H151,08_Annahmen!$B$22:$B$29,0)))*(1+08_Annahmen!$C$9)*(1+08_Annahmen!$C$14)*IF($J151="ja",08_Annahmen!$C$12,1)</f>
        <v>288.064074708256</v>
      </c>
      <c r="M151" s="28" t="n">
        <f aca="false">$L151*$I151</f>
        <v>7515.59170913839</v>
      </c>
      <c r="N151" s="28" t="n">
        <f aca="false">$M151/12</f>
        <v>626.299309094866</v>
      </c>
    </row>
    <row r="152" customFormat="false" ht="15" hidden="false" customHeight="false" outlineLevel="0" collapsed="false">
      <c r="B152" s="8" t="n">
        <v>146</v>
      </c>
      <c r="C152" s="8" t="s">
        <v>238</v>
      </c>
      <c r="D152" s="8" t="s">
        <v>99</v>
      </c>
      <c r="E152" s="8" t="s">
        <v>129</v>
      </c>
      <c r="F152" s="8" t="s">
        <v>130</v>
      </c>
      <c r="G152" s="8" t="s">
        <v>128</v>
      </c>
      <c r="H152" s="8" t="s">
        <v>130</v>
      </c>
      <c r="I152" s="38" t="n">
        <v>26.09</v>
      </c>
      <c r="J152" s="8" t="s">
        <v>493</v>
      </c>
      <c r="K152" s="81" t="n">
        <f aca="false">(INDEX(08_Annahmen!$D$22:$D$29,MATCH($H152,08_Annahmen!$B$22:$B$29,0))/MAX($I152,15))^INDEX(08_Annahmen!$E$22:$E$29,MATCH($H152,08_Annahmen!$B$22:$B$29,0))</f>
        <v>1.27745733757397</v>
      </c>
      <c r="L152" s="82" t="n">
        <f aca="false">INDEX(08_Annahmen!$C$22:$C$29,MATCH($H152,08_Annahmen!$B$22:$B$29,0))*$K152*(1+INDEX(08_Annahmen!$F$22:$F$29,MATCH($H152,08_Annahmen!$B$22:$B$29,0)))*(1+08_Annahmen!$C$9)*(1+08_Annahmen!$C$14)*IF($J152="ja",08_Annahmen!$C$12,1)</f>
        <v>288.064074708256</v>
      </c>
      <c r="M152" s="28" t="n">
        <f aca="false">$L152*$I152</f>
        <v>7515.59170913839</v>
      </c>
      <c r="N152" s="28" t="n">
        <f aca="false">$M152/12</f>
        <v>626.299309094866</v>
      </c>
    </row>
    <row r="153" customFormat="false" ht="15" hidden="false" customHeight="false" outlineLevel="0" collapsed="false">
      <c r="B153" s="8" t="n">
        <v>147</v>
      </c>
      <c r="C153" s="8" t="s">
        <v>238</v>
      </c>
      <c r="D153" s="8" t="s">
        <v>99</v>
      </c>
      <c r="E153" s="8" t="s">
        <v>129</v>
      </c>
      <c r="F153" s="8" t="s">
        <v>130</v>
      </c>
      <c r="G153" s="8" t="s">
        <v>128</v>
      </c>
      <c r="H153" s="8" t="s">
        <v>130</v>
      </c>
      <c r="I153" s="38" t="n">
        <v>26.09</v>
      </c>
      <c r="J153" s="8" t="s">
        <v>493</v>
      </c>
      <c r="K153" s="81" t="n">
        <f aca="false">(INDEX(08_Annahmen!$D$22:$D$29,MATCH($H153,08_Annahmen!$B$22:$B$29,0))/MAX($I153,15))^INDEX(08_Annahmen!$E$22:$E$29,MATCH($H153,08_Annahmen!$B$22:$B$29,0))</f>
        <v>1.27745733757397</v>
      </c>
      <c r="L153" s="82" t="n">
        <f aca="false">INDEX(08_Annahmen!$C$22:$C$29,MATCH($H153,08_Annahmen!$B$22:$B$29,0))*$K153*(1+INDEX(08_Annahmen!$F$22:$F$29,MATCH($H153,08_Annahmen!$B$22:$B$29,0)))*(1+08_Annahmen!$C$9)*(1+08_Annahmen!$C$14)*IF($J153="ja",08_Annahmen!$C$12,1)</f>
        <v>288.064074708256</v>
      </c>
      <c r="M153" s="28" t="n">
        <f aca="false">$L153*$I153</f>
        <v>7515.59170913839</v>
      </c>
      <c r="N153" s="28" t="n">
        <f aca="false">$M153/12</f>
        <v>626.299309094866</v>
      </c>
    </row>
    <row r="154" customFormat="false" ht="15" hidden="false" customHeight="false" outlineLevel="0" collapsed="false">
      <c r="B154" s="8" t="n">
        <v>148</v>
      </c>
      <c r="C154" s="8" t="s">
        <v>238</v>
      </c>
      <c r="D154" s="8" t="s">
        <v>99</v>
      </c>
      <c r="E154" s="8" t="s">
        <v>129</v>
      </c>
      <c r="F154" s="8" t="s">
        <v>130</v>
      </c>
      <c r="G154" s="8" t="s">
        <v>128</v>
      </c>
      <c r="H154" s="8" t="s">
        <v>130</v>
      </c>
      <c r="I154" s="38" t="n">
        <v>26.09</v>
      </c>
      <c r="J154" s="8" t="s">
        <v>493</v>
      </c>
      <c r="K154" s="81" t="n">
        <f aca="false">(INDEX(08_Annahmen!$D$22:$D$29,MATCH($H154,08_Annahmen!$B$22:$B$29,0))/MAX($I154,15))^INDEX(08_Annahmen!$E$22:$E$29,MATCH($H154,08_Annahmen!$B$22:$B$29,0))</f>
        <v>1.27745733757397</v>
      </c>
      <c r="L154" s="82" t="n">
        <f aca="false">INDEX(08_Annahmen!$C$22:$C$29,MATCH($H154,08_Annahmen!$B$22:$B$29,0))*$K154*(1+INDEX(08_Annahmen!$F$22:$F$29,MATCH($H154,08_Annahmen!$B$22:$B$29,0)))*(1+08_Annahmen!$C$9)*(1+08_Annahmen!$C$14)*IF($J154="ja",08_Annahmen!$C$12,1)</f>
        <v>288.064074708256</v>
      </c>
      <c r="M154" s="28" t="n">
        <f aca="false">$L154*$I154</f>
        <v>7515.59170913839</v>
      </c>
      <c r="N154" s="28" t="n">
        <f aca="false">$M154/12</f>
        <v>626.299309094866</v>
      </c>
    </row>
    <row r="155" customFormat="false" ht="15" hidden="false" customHeight="false" outlineLevel="0" collapsed="false">
      <c r="B155" s="8" t="n">
        <v>149</v>
      </c>
      <c r="C155" s="8" t="s">
        <v>238</v>
      </c>
      <c r="D155" s="8" t="s">
        <v>99</v>
      </c>
      <c r="E155" s="8" t="s">
        <v>129</v>
      </c>
      <c r="F155" s="8" t="s">
        <v>130</v>
      </c>
      <c r="G155" s="8" t="s">
        <v>128</v>
      </c>
      <c r="H155" s="8" t="s">
        <v>130</v>
      </c>
      <c r="I155" s="38" t="n">
        <v>26.09</v>
      </c>
      <c r="J155" s="8" t="s">
        <v>493</v>
      </c>
      <c r="K155" s="81" t="n">
        <f aca="false">(INDEX(08_Annahmen!$D$22:$D$29,MATCH($H155,08_Annahmen!$B$22:$B$29,0))/MAX($I155,15))^INDEX(08_Annahmen!$E$22:$E$29,MATCH($H155,08_Annahmen!$B$22:$B$29,0))</f>
        <v>1.27745733757397</v>
      </c>
      <c r="L155" s="82" t="n">
        <f aca="false">INDEX(08_Annahmen!$C$22:$C$29,MATCH($H155,08_Annahmen!$B$22:$B$29,0))*$K155*(1+INDEX(08_Annahmen!$F$22:$F$29,MATCH($H155,08_Annahmen!$B$22:$B$29,0)))*(1+08_Annahmen!$C$9)*(1+08_Annahmen!$C$14)*IF($J155="ja",08_Annahmen!$C$12,1)</f>
        <v>288.064074708256</v>
      </c>
      <c r="M155" s="28" t="n">
        <f aca="false">$L155*$I155</f>
        <v>7515.59170913839</v>
      </c>
      <c r="N155" s="28" t="n">
        <f aca="false">$M155/12</f>
        <v>626.299309094866</v>
      </c>
    </row>
    <row r="156" customFormat="false" ht="15" hidden="false" customHeight="false" outlineLevel="0" collapsed="false">
      <c r="B156" s="8" t="n">
        <v>150</v>
      </c>
      <c r="C156" s="8" t="s">
        <v>238</v>
      </c>
      <c r="D156" s="8" t="s">
        <v>99</v>
      </c>
      <c r="E156" s="8" t="s">
        <v>129</v>
      </c>
      <c r="F156" s="8" t="s">
        <v>130</v>
      </c>
      <c r="G156" s="8" t="s">
        <v>128</v>
      </c>
      <c r="H156" s="8" t="s">
        <v>130</v>
      </c>
      <c r="I156" s="38" t="n">
        <v>26.09</v>
      </c>
      <c r="J156" s="8" t="s">
        <v>493</v>
      </c>
      <c r="K156" s="81" t="n">
        <f aca="false">(INDEX(08_Annahmen!$D$22:$D$29,MATCH($H156,08_Annahmen!$B$22:$B$29,0))/MAX($I156,15))^INDEX(08_Annahmen!$E$22:$E$29,MATCH($H156,08_Annahmen!$B$22:$B$29,0))</f>
        <v>1.27745733757397</v>
      </c>
      <c r="L156" s="82" t="n">
        <f aca="false">INDEX(08_Annahmen!$C$22:$C$29,MATCH($H156,08_Annahmen!$B$22:$B$29,0))*$K156*(1+INDEX(08_Annahmen!$F$22:$F$29,MATCH($H156,08_Annahmen!$B$22:$B$29,0)))*(1+08_Annahmen!$C$9)*(1+08_Annahmen!$C$14)*IF($J156="ja",08_Annahmen!$C$12,1)</f>
        <v>288.064074708256</v>
      </c>
      <c r="M156" s="28" t="n">
        <f aca="false">$L156*$I156</f>
        <v>7515.59170913839</v>
      </c>
      <c r="N156" s="28" t="n">
        <f aca="false">$M156/12</f>
        <v>626.299309094866</v>
      </c>
    </row>
    <row r="157" customFormat="false" ht="15" hidden="false" customHeight="false" outlineLevel="0" collapsed="false">
      <c r="B157" s="8" t="n">
        <v>151</v>
      </c>
      <c r="C157" s="8" t="s">
        <v>238</v>
      </c>
      <c r="D157" s="8" t="s">
        <v>99</v>
      </c>
      <c r="E157" s="8" t="s">
        <v>129</v>
      </c>
      <c r="F157" s="8" t="s">
        <v>130</v>
      </c>
      <c r="G157" s="8" t="s">
        <v>128</v>
      </c>
      <c r="H157" s="8" t="s">
        <v>130</v>
      </c>
      <c r="I157" s="38" t="n">
        <v>26.09</v>
      </c>
      <c r="J157" s="8" t="s">
        <v>493</v>
      </c>
      <c r="K157" s="81" t="n">
        <f aca="false">(INDEX(08_Annahmen!$D$22:$D$29,MATCH($H157,08_Annahmen!$B$22:$B$29,0))/MAX($I157,15))^INDEX(08_Annahmen!$E$22:$E$29,MATCH($H157,08_Annahmen!$B$22:$B$29,0))</f>
        <v>1.27745733757397</v>
      </c>
      <c r="L157" s="82" t="n">
        <f aca="false">INDEX(08_Annahmen!$C$22:$C$29,MATCH($H157,08_Annahmen!$B$22:$B$29,0))*$K157*(1+INDEX(08_Annahmen!$F$22:$F$29,MATCH($H157,08_Annahmen!$B$22:$B$29,0)))*(1+08_Annahmen!$C$9)*(1+08_Annahmen!$C$14)*IF($J157="ja",08_Annahmen!$C$12,1)</f>
        <v>288.064074708256</v>
      </c>
      <c r="M157" s="28" t="n">
        <f aca="false">$L157*$I157</f>
        <v>7515.59170913839</v>
      </c>
      <c r="N157" s="28" t="n">
        <f aca="false">$M157/12</f>
        <v>626.299309094866</v>
      </c>
    </row>
    <row r="158" customFormat="false" ht="15" hidden="false" customHeight="false" outlineLevel="0" collapsed="false">
      <c r="B158" s="8" t="n">
        <v>152</v>
      </c>
      <c r="C158" s="8" t="s">
        <v>238</v>
      </c>
      <c r="D158" s="8" t="s">
        <v>99</v>
      </c>
      <c r="E158" s="8" t="s">
        <v>129</v>
      </c>
      <c r="F158" s="8" t="s">
        <v>130</v>
      </c>
      <c r="G158" s="8" t="s">
        <v>128</v>
      </c>
      <c r="H158" s="8" t="s">
        <v>130</v>
      </c>
      <c r="I158" s="38" t="n">
        <v>26.09</v>
      </c>
      <c r="J158" s="8" t="s">
        <v>493</v>
      </c>
      <c r="K158" s="81" t="n">
        <f aca="false">(INDEX(08_Annahmen!$D$22:$D$29,MATCH($H158,08_Annahmen!$B$22:$B$29,0))/MAX($I158,15))^INDEX(08_Annahmen!$E$22:$E$29,MATCH($H158,08_Annahmen!$B$22:$B$29,0))</f>
        <v>1.27745733757397</v>
      </c>
      <c r="L158" s="82" t="n">
        <f aca="false">INDEX(08_Annahmen!$C$22:$C$29,MATCH($H158,08_Annahmen!$B$22:$B$29,0))*$K158*(1+INDEX(08_Annahmen!$F$22:$F$29,MATCH($H158,08_Annahmen!$B$22:$B$29,0)))*(1+08_Annahmen!$C$9)*(1+08_Annahmen!$C$14)*IF($J158="ja",08_Annahmen!$C$12,1)</f>
        <v>288.064074708256</v>
      </c>
      <c r="M158" s="28" t="n">
        <f aca="false">$L158*$I158</f>
        <v>7515.59170913839</v>
      </c>
      <c r="N158" s="28" t="n">
        <f aca="false">$M158/12</f>
        <v>626.299309094866</v>
      </c>
    </row>
    <row r="159" customFormat="false" ht="15" hidden="false" customHeight="false" outlineLevel="0" collapsed="false">
      <c r="B159" s="8" t="n">
        <v>153</v>
      </c>
      <c r="C159" s="8" t="s">
        <v>238</v>
      </c>
      <c r="D159" s="8" t="s">
        <v>99</v>
      </c>
      <c r="E159" s="8" t="s">
        <v>129</v>
      </c>
      <c r="F159" s="8" t="s">
        <v>130</v>
      </c>
      <c r="G159" s="8" t="s">
        <v>128</v>
      </c>
      <c r="H159" s="8" t="s">
        <v>130</v>
      </c>
      <c r="I159" s="38" t="n">
        <v>26.09</v>
      </c>
      <c r="J159" s="8" t="s">
        <v>493</v>
      </c>
      <c r="K159" s="81" t="n">
        <f aca="false">(INDEX(08_Annahmen!$D$22:$D$29,MATCH($H159,08_Annahmen!$B$22:$B$29,0))/MAX($I159,15))^INDEX(08_Annahmen!$E$22:$E$29,MATCH($H159,08_Annahmen!$B$22:$B$29,0))</f>
        <v>1.27745733757397</v>
      </c>
      <c r="L159" s="82" t="n">
        <f aca="false">INDEX(08_Annahmen!$C$22:$C$29,MATCH($H159,08_Annahmen!$B$22:$B$29,0))*$K159*(1+INDEX(08_Annahmen!$F$22:$F$29,MATCH($H159,08_Annahmen!$B$22:$B$29,0)))*(1+08_Annahmen!$C$9)*(1+08_Annahmen!$C$14)*IF($J159="ja",08_Annahmen!$C$12,1)</f>
        <v>288.064074708256</v>
      </c>
      <c r="M159" s="28" t="n">
        <f aca="false">$L159*$I159</f>
        <v>7515.59170913839</v>
      </c>
      <c r="N159" s="28" t="n">
        <f aca="false">$M159/12</f>
        <v>626.299309094866</v>
      </c>
    </row>
    <row r="160" customFormat="false" ht="15" hidden="false" customHeight="false" outlineLevel="0" collapsed="false">
      <c r="B160" s="8" t="n">
        <v>154</v>
      </c>
      <c r="C160" s="8" t="s">
        <v>238</v>
      </c>
      <c r="D160" s="8" t="s">
        <v>99</v>
      </c>
      <c r="E160" s="8" t="s">
        <v>129</v>
      </c>
      <c r="F160" s="8" t="s">
        <v>130</v>
      </c>
      <c r="G160" s="8" t="s">
        <v>128</v>
      </c>
      <c r="H160" s="8" t="s">
        <v>130</v>
      </c>
      <c r="I160" s="38" t="n">
        <v>26.09</v>
      </c>
      <c r="J160" s="8" t="s">
        <v>493</v>
      </c>
      <c r="K160" s="81" t="n">
        <f aca="false">(INDEX(08_Annahmen!$D$22:$D$29,MATCH($H160,08_Annahmen!$B$22:$B$29,0))/MAX($I160,15))^INDEX(08_Annahmen!$E$22:$E$29,MATCH($H160,08_Annahmen!$B$22:$B$29,0))</f>
        <v>1.27745733757397</v>
      </c>
      <c r="L160" s="82" t="n">
        <f aca="false">INDEX(08_Annahmen!$C$22:$C$29,MATCH($H160,08_Annahmen!$B$22:$B$29,0))*$K160*(1+INDEX(08_Annahmen!$F$22:$F$29,MATCH($H160,08_Annahmen!$B$22:$B$29,0)))*(1+08_Annahmen!$C$9)*(1+08_Annahmen!$C$14)*IF($J160="ja",08_Annahmen!$C$12,1)</f>
        <v>288.064074708256</v>
      </c>
      <c r="M160" s="28" t="n">
        <f aca="false">$L160*$I160</f>
        <v>7515.59170913839</v>
      </c>
      <c r="N160" s="28" t="n">
        <f aca="false">$M160/12</f>
        <v>626.299309094866</v>
      </c>
    </row>
    <row r="161" customFormat="false" ht="15" hidden="false" customHeight="false" outlineLevel="0" collapsed="false">
      <c r="B161" s="8" t="n">
        <v>155</v>
      </c>
      <c r="C161" s="8" t="s">
        <v>238</v>
      </c>
      <c r="D161" s="8" t="s">
        <v>99</v>
      </c>
      <c r="E161" s="8" t="s">
        <v>129</v>
      </c>
      <c r="F161" s="8" t="s">
        <v>130</v>
      </c>
      <c r="G161" s="8" t="s">
        <v>128</v>
      </c>
      <c r="H161" s="8" t="s">
        <v>130</v>
      </c>
      <c r="I161" s="38" t="n">
        <v>26.09</v>
      </c>
      <c r="J161" s="8" t="s">
        <v>493</v>
      </c>
      <c r="K161" s="81" t="n">
        <f aca="false">(INDEX(08_Annahmen!$D$22:$D$29,MATCH($H161,08_Annahmen!$B$22:$B$29,0))/MAX($I161,15))^INDEX(08_Annahmen!$E$22:$E$29,MATCH($H161,08_Annahmen!$B$22:$B$29,0))</f>
        <v>1.27745733757397</v>
      </c>
      <c r="L161" s="82" t="n">
        <f aca="false">INDEX(08_Annahmen!$C$22:$C$29,MATCH($H161,08_Annahmen!$B$22:$B$29,0))*$K161*(1+INDEX(08_Annahmen!$F$22:$F$29,MATCH($H161,08_Annahmen!$B$22:$B$29,0)))*(1+08_Annahmen!$C$9)*(1+08_Annahmen!$C$14)*IF($J161="ja",08_Annahmen!$C$12,1)</f>
        <v>288.064074708256</v>
      </c>
      <c r="M161" s="28" t="n">
        <f aca="false">$L161*$I161</f>
        <v>7515.59170913839</v>
      </c>
      <c r="N161" s="28" t="n">
        <f aca="false">$M161/12</f>
        <v>626.299309094866</v>
      </c>
    </row>
    <row r="162" customFormat="false" ht="15" hidden="false" customHeight="false" outlineLevel="0" collapsed="false">
      <c r="B162" s="8" t="n">
        <v>156</v>
      </c>
      <c r="C162" s="8" t="s">
        <v>238</v>
      </c>
      <c r="D162" s="8" t="s">
        <v>99</v>
      </c>
      <c r="E162" s="8" t="s">
        <v>129</v>
      </c>
      <c r="F162" s="8" t="s">
        <v>130</v>
      </c>
      <c r="G162" s="8" t="s">
        <v>128</v>
      </c>
      <c r="H162" s="8" t="s">
        <v>130</v>
      </c>
      <c r="I162" s="38" t="n">
        <v>26.09</v>
      </c>
      <c r="J162" s="8" t="s">
        <v>493</v>
      </c>
      <c r="K162" s="81" t="n">
        <f aca="false">(INDEX(08_Annahmen!$D$22:$D$29,MATCH($H162,08_Annahmen!$B$22:$B$29,0))/MAX($I162,15))^INDEX(08_Annahmen!$E$22:$E$29,MATCH($H162,08_Annahmen!$B$22:$B$29,0))</f>
        <v>1.27745733757397</v>
      </c>
      <c r="L162" s="82" t="n">
        <f aca="false">INDEX(08_Annahmen!$C$22:$C$29,MATCH($H162,08_Annahmen!$B$22:$B$29,0))*$K162*(1+INDEX(08_Annahmen!$F$22:$F$29,MATCH($H162,08_Annahmen!$B$22:$B$29,0)))*(1+08_Annahmen!$C$9)*(1+08_Annahmen!$C$14)*IF($J162="ja",08_Annahmen!$C$12,1)</f>
        <v>288.064074708256</v>
      </c>
      <c r="M162" s="28" t="n">
        <f aca="false">$L162*$I162</f>
        <v>7515.59170913839</v>
      </c>
      <c r="N162" s="28" t="n">
        <f aca="false">$M162/12</f>
        <v>626.299309094866</v>
      </c>
    </row>
    <row r="163" customFormat="false" ht="15" hidden="false" customHeight="false" outlineLevel="0" collapsed="false">
      <c r="B163" s="8" t="n">
        <v>157</v>
      </c>
      <c r="C163" s="8" t="s">
        <v>238</v>
      </c>
      <c r="D163" s="8" t="s">
        <v>99</v>
      </c>
      <c r="E163" s="8" t="s">
        <v>129</v>
      </c>
      <c r="F163" s="8" t="s">
        <v>130</v>
      </c>
      <c r="G163" s="8" t="s">
        <v>128</v>
      </c>
      <c r="H163" s="8" t="s">
        <v>130</v>
      </c>
      <c r="I163" s="38" t="n">
        <v>26.09</v>
      </c>
      <c r="J163" s="8" t="s">
        <v>493</v>
      </c>
      <c r="K163" s="81" t="n">
        <f aca="false">(INDEX(08_Annahmen!$D$22:$D$29,MATCH($H163,08_Annahmen!$B$22:$B$29,0))/MAX($I163,15))^INDEX(08_Annahmen!$E$22:$E$29,MATCH($H163,08_Annahmen!$B$22:$B$29,0))</f>
        <v>1.27745733757397</v>
      </c>
      <c r="L163" s="82" t="n">
        <f aca="false">INDEX(08_Annahmen!$C$22:$C$29,MATCH($H163,08_Annahmen!$B$22:$B$29,0))*$K163*(1+INDEX(08_Annahmen!$F$22:$F$29,MATCH($H163,08_Annahmen!$B$22:$B$29,0)))*(1+08_Annahmen!$C$9)*(1+08_Annahmen!$C$14)*IF($J163="ja",08_Annahmen!$C$12,1)</f>
        <v>288.064074708256</v>
      </c>
      <c r="M163" s="28" t="n">
        <f aca="false">$L163*$I163</f>
        <v>7515.59170913839</v>
      </c>
      <c r="N163" s="28" t="n">
        <f aca="false">$M163/12</f>
        <v>626.299309094866</v>
      </c>
    </row>
    <row r="164" customFormat="false" ht="15" hidden="false" customHeight="false" outlineLevel="0" collapsed="false">
      <c r="B164" s="8" t="n">
        <v>158</v>
      </c>
      <c r="C164" s="8" t="s">
        <v>238</v>
      </c>
      <c r="D164" s="8" t="s">
        <v>99</v>
      </c>
      <c r="E164" s="8" t="s">
        <v>129</v>
      </c>
      <c r="F164" s="8" t="s">
        <v>130</v>
      </c>
      <c r="G164" s="8" t="s">
        <v>128</v>
      </c>
      <c r="H164" s="8" t="s">
        <v>130</v>
      </c>
      <c r="I164" s="38" t="n">
        <v>26.09</v>
      </c>
      <c r="J164" s="8" t="s">
        <v>493</v>
      </c>
      <c r="K164" s="81" t="n">
        <f aca="false">(INDEX(08_Annahmen!$D$22:$D$29,MATCH($H164,08_Annahmen!$B$22:$B$29,0))/MAX($I164,15))^INDEX(08_Annahmen!$E$22:$E$29,MATCH($H164,08_Annahmen!$B$22:$B$29,0))</f>
        <v>1.27745733757397</v>
      </c>
      <c r="L164" s="82" t="n">
        <f aca="false">INDEX(08_Annahmen!$C$22:$C$29,MATCH($H164,08_Annahmen!$B$22:$B$29,0))*$K164*(1+INDEX(08_Annahmen!$F$22:$F$29,MATCH($H164,08_Annahmen!$B$22:$B$29,0)))*(1+08_Annahmen!$C$9)*(1+08_Annahmen!$C$14)*IF($J164="ja",08_Annahmen!$C$12,1)</f>
        <v>288.064074708256</v>
      </c>
      <c r="M164" s="28" t="n">
        <f aca="false">$L164*$I164</f>
        <v>7515.59170913839</v>
      </c>
      <c r="N164" s="28" t="n">
        <f aca="false">$M164/12</f>
        <v>626.299309094866</v>
      </c>
    </row>
    <row r="165" customFormat="false" ht="15" hidden="false" customHeight="false" outlineLevel="0" collapsed="false">
      <c r="B165" s="8" t="n">
        <v>159</v>
      </c>
      <c r="C165" s="8" t="s">
        <v>238</v>
      </c>
      <c r="D165" s="8" t="s">
        <v>99</v>
      </c>
      <c r="E165" s="8" t="s">
        <v>129</v>
      </c>
      <c r="F165" s="8" t="s">
        <v>130</v>
      </c>
      <c r="G165" s="8" t="s">
        <v>128</v>
      </c>
      <c r="H165" s="8" t="s">
        <v>130</v>
      </c>
      <c r="I165" s="38" t="n">
        <v>26.09</v>
      </c>
      <c r="J165" s="8" t="s">
        <v>493</v>
      </c>
      <c r="K165" s="81" t="n">
        <f aca="false">(INDEX(08_Annahmen!$D$22:$D$29,MATCH($H165,08_Annahmen!$B$22:$B$29,0))/MAX($I165,15))^INDEX(08_Annahmen!$E$22:$E$29,MATCH($H165,08_Annahmen!$B$22:$B$29,0))</f>
        <v>1.27745733757397</v>
      </c>
      <c r="L165" s="82" t="n">
        <f aca="false">INDEX(08_Annahmen!$C$22:$C$29,MATCH($H165,08_Annahmen!$B$22:$B$29,0))*$K165*(1+INDEX(08_Annahmen!$F$22:$F$29,MATCH($H165,08_Annahmen!$B$22:$B$29,0)))*(1+08_Annahmen!$C$9)*(1+08_Annahmen!$C$14)*IF($J165="ja",08_Annahmen!$C$12,1)</f>
        <v>288.064074708256</v>
      </c>
      <c r="M165" s="28" t="n">
        <f aca="false">$L165*$I165</f>
        <v>7515.59170913839</v>
      </c>
      <c r="N165" s="28" t="n">
        <f aca="false">$M165/12</f>
        <v>626.299309094866</v>
      </c>
    </row>
    <row r="166" customFormat="false" ht="15" hidden="false" customHeight="false" outlineLevel="0" collapsed="false">
      <c r="B166" s="8" t="n">
        <v>160</v>
      </c>
      <c r="C166" s="8" t="s">
        <v>238</v>
      </c>
      <c r="D166" s="8" t="s">
        <v>99</v>
      </c>
      <c r="E166" s="8" t="s">
        <v>129</v>
      </c>
      <c r="F166" s="8" t="s">
        <v>130</v>
      </c>
      <c r="G166" s="8" t="s">
        <v>128</v>
      </c>
      <c r="H166" s="8" t="s">
        <v>130</v>
      </c>
      <c r="I166" s="38" t="n">
        <v>26.09</v>
      </c>
      <c r="J166" s="8" t="s">
        <v>493</v>
      </c>
      <c r="K166" s="81" t="n">
        <f aca="false">(INDEX(08_Annahmen!$D$22:$D$29,MATCH($H166,08_Annahmen!$B$22:$B$29,0))/MAX($I166,15))^INDEX(08_Annahmen!$E$22:$E$29,MATCH($H166,08_Annahmen!$B$22:$B$29,0))</f>
        <v>1.27745733757397</v>
      </c>
      <c r="L166" s="82" t="n">
        <f aca="false">INDEX(08_Annahmen!$C$22:$C$29,MATCH($H166,08_Annahmen!$B$22:$B$29,0))*$K166*(1+INDEX(08_Annahmen!$F$22:$F$29,MATCH($H166,08_Annahmen!$B$22:$B$29,0)))*(1+08_Annahmen!$C$9)*(1+08_Annahmen!$C$14)*IF($J166="ja",08_Annahmen!$C$12,1)</f>
        <v>288.064074708256</v>
      </c>
      <c r="M166" s="28" t="n">
        <f aca="false">$L166*$I166</f>
        <v>7515.59170913839</v>
      </c>
      <c r="N166" s="28" t="n">
        <f aca="false">$M166/12</f>
        <v>626.299309094866</v>
      </c>
    </row>
    <row r="167" customFormat="false" ht="15" hidden="false" customHeight="false" outlineLevel="0" collapsed="false">
      <c r="B167" s="8" t="n">
        <v>161</v>
      </c>
      <c r="C167" s="8" t="s">
        <v>238</v>
      </c>
      <c r="D167" s="8" t="s">
        <v>99</v>
      </c>
      <c r="E167" s="8" t="s">
        <v>131</v>
      </c>
      <c r="F167" s="8" t="s">
        <v>218</v>
      </c>
      <c r="G167" s="8" t="s">
        <v>125</v>
      </c>
      <c r="H167" s="8" t="s">
        <v>218</v>
      </c>
      <c r="I167" s="38" t="n">
        <v>53.56</v>
      </c>
      <c r="J167" s="8" t="s">
        <v>493</v>
      </c>
      <c r="K167" s="81" t="n">
        <f aca="false">(INDEX(08_Annahmen!$D$22:$D$29,MATCH($H167,08_Annahmen!$B$22:$B$29,0))/MAX($I167,15))^INDEX(08_Annahmen!$E$22:$E$29,MATCH($H167,08_Annahmen!$B$22:$B$29,0))</f>
        <v>1.21355488786651</v>
      </c>
      <c r="L167" s="82" t="n">
        <f aca="false">INDEX(08_Annahmen!$C$22:$C$29,MATCH($H167,08_Annahmen!$B$22:$B$29,0))*$K167*(1+INDEX(08_Annahmen!$F$22:$F$29,MATCH($H167,08_Annahmen!$B$22:$B$29,0)))*(1+08_Annahmen!$C$9)*(1+08_Annahmen!$C$14)*IF($J167="ja",08_Annahmen!$C$12,1)</f>
        <v>535.636429296743</v>
      </c>
      <c r="M167" s="28" t="n">
        <f aca="false">$L167*$I167</f>
        <v>28688.6871531336</v>
      </c>
      <c r="N167" s="28" t="n">
        <f aca="false">$M167/12</f>
        <v>2390.7239294278</v>
      </c>
    </row>
    <row r="168" customFormat="false" ht="15" hidden="false" customHeight="false" outlineLevel="0" collapsed="false">
      <c r="B168" s="8" t="n">
        <v>162</v>
      </c>
      <c r="C168" s="8" t="s">
        <v>238</v>
      </c>
      <c r="D168" s="8" t="s">
        <v>99</v>
      </c>
      <c r="E168" s="8" t="s">
        <v>131</v>
      </c>
      <c r="F168" s="8" t="s">
        <v>218</v>
      </c>
      <c r="G168" s="8" t="s">
        <v>125</v>
      </c>
      <c r="H168" s="8" t="s">
        <v>218</v>
      </c>
      <c r="I168" s="38" t="n">
        <v>53.56</v>
      </c>
      <c r="J168" s="8" t="s">
        <v>493</v>
      </c>
      <c r="K168" s="81" t="n">
        <f aca="false">(INDEX(08_Annahmen!$D$22:$D$29,MATCH($H168,08_Annahmen!$B$22:$B$29,0))/MAX($I168,15))^INDEX(08_Annahmen!$E$22:$E$29,MATCH($H168,08_Annahmen!$B$22:$B$29,0))</f>
        <v>1.21355488786651</v>
      </c>
      <c r="L168" s="82" t="n">
        <f aca="false">INDEX(08_Annahmen!$C$22:$C$29,MATCH($H168,08_Annahmen!$B$22:$B$29,0))*$K168*(1+INDEX(08_Annahmen!$F$22:$F$29,MATCH($H168,08_Annahmen!$B$22:$B$29,0)))*(1+08_Annahmen!$C$9)*(1+08_Annahmen!$C$14)*IF($J168="ja",08_Annahmen!$C$12,1)</f>
        <v>535.636429296743</v>
      </c>
      <c r="M168" s="28" t="n">
        <f aca="false">$L168*$I168</f>
        <v>28688.6871531336</v>
      </c>
      <c r="N168" s="28" t="n">
        <f aca="false">$M168/12</f>
        <v>2390.7239294278</v>
      </c>
    </row>
    <row r="169" customFormat="false" ht="15" hidden="false" customHeight="false" outlineLevel="0" collapsed="false">
      <c r="B169" s="8" t="n">
        <v>163</v>
      </c>
      <c r="C169" s="8" t="s">
        <v>238</v>
      </c>
      <c r="D169" s="8" t="s">
        <v>99</v>
      </c>
      <c r="E169" s="8" t="s">
        <v>131</v>
      </c>
      <c r="F169" s="8" t="s">
        <v>218</v>
      </c>
      <c r="G169" s="8" t="s">
        <v>125</v>
      </c>
      <c r="H169" s="8" t="s">
        <v>218</v>
      </c>
      <c r="I169" s="38" t="n">
        <v>53.56</v>
      </c>
      <c r="J169" s="8" t="s">
        <v>493</v>
      </c>
      <c r="K169" s="81" t="n">
        <f aca="false">(INDEX(08_Annahmen!$D$22:$D$29,MATCH($H169,08_Annahmen!$B$22:$B$29,0))/MAX($I169,15))^INDEX(08_Annahmen!$E$22:$E$29,MATCH($H169,08_Annahmen!$B$22:$B$29,0))</f>
        <v>1.21355488786651</v>
      </c>
      <c r="L169" s="82" t="n">
        <f aca="false">INDEX(08_Annahmen!$C$22:$C$29,MATCH($H169,08_Annahmen!$B$22:$B$29,0))*$K169*(1+INDEX(08_Annahmen!$F$22:$F$29,MATCH($H169,08_Annahmen!$B$22:$B$29,0)))*(1+08_Annahmen!$C$9)*(1+08_Annahmen!$C$14)*IF($J169="ja",08_Annahmen!$C$12,1)</f>
        <v>535.636429296743</v>
      </c>
      <c r="M169" s="28" t="n">
        <f aca="false">$L169*$I169</f>
        <v>28688.6871531336</v>
      </c>
      <c r="N169" s="28" t="n">
        <f aca="false">$M169/12</f>
        <v>2390.7239294278</v>
      </c>
    </row>
    <row r="170" customFormat="false" ht="15" hidden="false" customHeight="false" outlineLevel="0" collapsed="false">
      <c r="B170" s="8" t="n">
        <v>164</v>
      </c>
      <c r="C170" s="8" t="s">
        <v>238</v>
      </c>
      <c r="D170" s="8" t="s">
        <v>99</v>
      </c>
      <c r="E170" s="8" t="s">
        <v>131</v>
      </c>
      <c r="F170" s="8" t="s">
        <v>218</v>
      </c>
      <c r="G170" s="8" t="s">
        <v>125</v>
      </c>
      <c r="H170" s="8" t="s">
        <v>218</v>
      </c>
      <c r="I170" s="38" t="n">
        <v>53.56</v>
      </c>
      <c r="J170" s="8" t="s">
        <v>493</v>
      </c>
      <c r="K170" s="81" t="n">
        <f aca="false">(INDEX(08_Annahmen!$D$22:$D$29,MATCH($H170,08_Annahmen!$B$22:$B$29,0))/MAX($I170,15))^INDEX(08_Annahmen!$E$22:$E$29,MATCH($H170,08_Annahmen!$B$22:$B$29,0))</f>
        <v>1.21355488786651</v>
      </c>
      <c r="L170" s="82" t="n">
        <f aca="false">INDEX(08_Annahmen!$C$22:$C$29,MATCH($H170,08_Annahmen!$B$22:$B$29,0))*$K170*(1+INDEX(08_Annahmen!$F$22:$F$29,MATCH($H170,08_Annahmen!$B$22:$B$29,0)))*(1+08_Annahmen!$C$9)*(1+08_Annahmen!$C$14)*IF($J170="ja",08_Annahmen!$C$12,1)</f>
        <v>535.636429296743</v>
      </c>
      <c r="M170" s="28" t="n">
        <f aca="false">$L170*$I170</f>
        <v>28688.6871531336</v>
      </c>
      <c r="N170" s="28" t="n">
        <f aca="false">$M170/12</f>
        <v>2390.7239294278</v>
      </c>
    </row>
    <row r="171" customFormat="false" ht="15" hidden="false" customHeight="false" outlineLevel="0" collapsed="false">
      <c r="B171" s="8" t="n">
        <v>165</v>
      </c>
      <c r="C171" s="8" t="s">
        <v>238</v>
      </c>
      <c r="D171" s="8" t="s">
        <v>99</v>
      </c>
      <c r="E171" s="8" t="s">
        <v>131</v>
      </c>
      <c r="F171" s="8" t="s">
        <v>218</v>
      </c>
      <c r="G171" s="8" t="s">
        <v>126</v>
      </c>
      <c r="H171" s="8" t="s">
        <v>218</v>
      </c>
      <c r="I171" s="38" t="n">
        <v>42.88</v>
      </c>
      <c r="J171" s="8" t="s">
        <v>493</v>
      </c>
      <c r="K171" s="81" t="n">
        <f aca="false">(INDEX(08_Annahmen!$D$22:$D$29,MATCH($H171,08_Annahmen!$B$22:$B$29,0))/MAX($I171,15))^INDEX(08_Annahmen!$E$22:$E$29,MATCH($H171,08_Annahmen!$B$22:$B$29,0))</f>
        <v>1.30017262935102</v>
      </c>
      <c r="L171" s="82" t="n">
        <f aca="false">INDEX(08_Annahmen!$C$22:$C$29,MATCH($H171,08_Annahmen!$B$22:$B$29,0))*$K171*(1+INDEX(08_Annahmen!$F$22:$F$29,MATCH($H171,08_Annahmen!$B$22:$B$29,0)))*(1+08_Annahmen!$C$9)*(1+08_Annahmen!$C$14)*IF($J171="ja",08_Annahmen!$C$12,1)</f>
        <v>573.867594797696</v>
      </c>
      <c r="M171" s="28" t="n">
        <f aca="false">$L171*$I171</f>
        <v>24607.4424649252</v>
      </c>
      <c r="N171" s="28" t="n">
        <f aca="false">$M171/12</f>
        <v>2050.62020541043</v>
      </c>
    </row>
    <row r="172" customFormat="false" ht="15" hidden="false" customHeight="false" outlineLevel="0" collapsed="false">
      <c r="B172" s="8" t="n">
        <v>166</v>
      </c>
      <c r="C172" s="8" t="s">
        <v>238</v>
      </c>
      <c r="D172" s="8" t="s">
        <v>99</v>
      </c>
      <c r="E172" s="8" t="s">
        <v>131</v>
      </c>
      <c r="F172" s="8" t="s">
        <v>218</v>
      </c>
      <c r="G172" s="8" t="s">
        <v>126</v>
      </c>
      <c r="H172" s="8" t="s">
        <v>218</v>
      </c>
      <c r="I172" s="38" t="n">
        <v>42.88</v>
      </c>
      <c r="J172" s="8" t="s">
        <v>493</v>
      </c>
      <c r="K172" s="81" t="n">
        <f aca="false">(INDEX(08_Annahmen!$D$22:$D$29,MATCH($H172,08_Annahmen!$B$22:$B$29,0))/MAX($I172,15))^INDEX(08_Annahmen!$E$22:$E$29,MATCH($H172,08_Annahmen!$B$22:$B$29,0))</f>
        <v>1.30017262935102</v>
      </c>
      <c r="L172" s="82" t="n">
        <f aca="false">INDEX(08_Annahmen!$C$22:$C$29,MATCH($H172,08_Annahmen!$B$22:$B$29,0))*$K172*(1+INDEX(08_Annahmen!$F$22:$F$29,MATCH($H172,08_Annahmen!$B$22:$B$29,0)))*(1+08_Annahmen!$C$9)*(1+08_Annahmen!$C$14)*IF($J172="ja",08_Annahmen!$C$12,1)</f>
        <v>573.867594797696</v>
      </c>
      <c r="M172" s="28" t="n">
        <f aca="false">$L172*$I172</f>
        <v>24607.4424649252</v>
      </c>
      <c r="N172" s="28" t="n">
        <f aca="false">$M172/12</f>
        <v>2050.62020541043</v>
      </c>
    </row>
    <row r="173" customFormat="false" ht="15" hidden="false" customHeight="false" outlineLevel="0" collapsed="false">
      <c r="B173" s="8" t="n">
        <v>167</v>
      </c>
      <c r="C173" s="8" t="s">
        <v>238</v>
      </c>
      <c r="D173" s="8" t="s">
        <v>99</v>
      </c>
      <c r="E173" s="8" t="s">
        <v>131</v>
      </c>
      <c r="F173" s="8" t="s">
        <v>218</v>
      </c>
      <c r="G173" s="8" t="s">
        <v>126</v>
      </c>
      <c r="H173" s="8" t="s">
        <v>218</v>
      </c>
      <c r="I173" s="38" t="n">
        <v>42.88</v>
      </c>
      <c r="J173" s="8" t="s">
        <v>493</v>
      </c>
      <c r="K173" s="81" t="n">
        <f aca="false">(INDEX(08_Annahmen!$D$22:$D$29,MATCH($H173,08_Annahmen!$B$22:$B$29,0))/MAX($I173,15))^INDEX(08_Annahmen!$E$22:$E$29,MATCH($H173,08_Annahmen!$B$22:$B$29,0))</f>
        <v>1.30017262935102</v>
      </c>
      <c r="L173" s="82" t="n">
        <f aca="false">INDEX(08_Annahmen!$C$22:$C$29,MATCH($H173,08_Annahmen!$B$22:$B$29,0))*$K173*(1+INDEX(08_Annahmen!$F$22:$F$29,MATCH($H173,08_Annahmen!$B$22:$B$29,0)))*(1+08_Annahmen!$C$9)*(1+08_Annahmen!$C$14)*IF($J173="ja",08_Annahmen!$C$12,1)</f>
        <v>573.867594797696</v>
      </c>
      <c r="M173" s="28" t="n">
        <f aca="false">$L173*$I173</f>
        <v>24607.4424649252</v>
      </c>
      <c r="N173" s="28" t="n">
        <f aca="false">$M173/12</f>
        <v>2050.62020541043</v>
      </c>
    </row>
    <row r="174" customFormat="false" ht="15" hidden="false" customHeight="false" outlineLevel="0" collapsed="false">
      <c r="B174" s="8" t="n">
        <v>168</v>
      </c>
      <c r="C174" s="8" t="s">
        <v>238</v>
      </c>
      <c r="D174" s="8" t="s">
        <v>99</v>
      </c>
      <c r="E174" s="8" t="s">
        <v>131</v>
      </c>
      <c r="F174" s="8" t="s">
        <v>218</v>
      </c>
      <c r="G174" s="8" t="s">
        <v>126</v>
      </c>
      <c r="H174" s="8" t="s">
        <v>218</v>
      </c>
      <c r="I174" s="38" t="n">
        <v>42.88</v>
      </c>
      <c r="J174" s="8" t="s">
        <v>493</v>
      </c>
      <c r="K174" s="81" t="n">
        <f aca="false">(INDEX(08_Annahmen!$D$22:$D$29,MATCH($H174,08_Annahmen!$B$22:$B$29,0))/MAX($I174,15))^INDEX(08_Annahmen!$E$22:$E$29,MATCH($H174,08_Annahmen!$B$22:$B$29,0))</f>
        <v>1.30017262935102</v>
      </c>
      <c r="L174" s="82" t="n">
        <f aca="false">INDEX(08_Annahmen!$C$22:$C$29,MATCH($H174,08_Annahmen!$B$22:$B$29,0))*$K174*(1+INDEX(08_Annahmen!$F$22:$F$29,MATCH($H174,08_Annahmen!$B$22:$B$29,0)))*(1+08_Annahmen!$C$9)*(1+08_Annahmen!$C$14)*IF($J174="ja",08_Annahmen!$C$12,1)</f>
        <v>573.867594797696</v>
      </c>
      <c r="M174" s="28" t="n">
        <f aca="false">$L174*$I174</f>
        <v>24607.4424649252</v>
      </c>
      <c r="N174" s="28" t="n">
        <f aca="false">$M174/12</f>
        <v>2050.62020541043</v>
      </c>
    </row>
    <row r="175" customFormat="false" ht="15" hidden="false" customHeight="false" outlineLevel="0" collapsed="false">
      <c r="B175" s="8" t="n">
        <v>169</v>
      </c>
      <c r="C175" s="8" t="s">
        <v>238</v>
      </c>
      <c r="D175" s="8" t="s">
        <v>99</v>
      </c>
      <c r="E175" s="8" t="s">
        <v>131</v>
      </c>
      <c r="F175" s="8" t="s">
        <v>218</v>
      </c>
      <c r="G175" s="8" t="s">
        <v>127</v>
      </c>
      <c r="H175" s="8" t="s">
        <v>218</v>
      </c>
      <c r="I175" s="38" t="n">
        <v>25.92</v>
      </c>
      <c r="J175" s="8" t="s">
        <v>493</v>
      </c>
      <c r="K175" s="81" t="n">
        <f aca="false">(INDEX(08_Annahmen!$D$22:$D$29,MATCH($H175,08_Annahmen!$B$22:$B$29,0))/MAX($I175,15))^INDEX(08_Annahmen!$E$22:$E$29,MATCH($H175,08_Annahmen!$B$22:$B$29,0))</f>
        <v>1.51975349520037</v>
      </c>
      <c r="L175" s="82" t="n">
        <f aca="false">INDEX(08_Annahmen!$C$22:$C$29,MATCH($H175,08_Annahmen!$B$22:$B$29,0))*$K175*(1+INDEX(08_Annahmen!$F$22:$F$29,MATCH($H175,08_Annahmen!$B$22:$B$29,0)))*(1+08_Annahmen!$C$9)*(1+08_Annahmen!$C$14)*IF($J175="ja",08_Annahmen!$C$12,1)</f>
        <v>670.785758204551</v>
      </c>
      <c r="M175" s="28" t="n">
        <f aca="false">$L175*$I175</f>
        <v>17386.766852662</v>
      </c>
      <c r="N175" s="28" t="n">
        <f aca="false">$M175/12</f>
        <v>1448.89723772183</v>
      </c>
    </row>
    <row r="176" customFormat="false" ht="15" hidden="false" customHeight="false" outlineLevel="0" collapsed="false">
      <c r="B176" s="8" t="n">
        <v>170</v>
      </c>
      <c r="C176" s="8" t="s">
        <v>238</v>
      </c>
      <c r="D176" s="8" t="s">
        <v>99</v>
      </c>
      <c r="E176" s="8" t="s">
        <v>131</v>
      </c>
      <c r="F176" s="8" t="s">
        <v>218</v>
      </c>
      <c r="G176" s="8" t="s">
        <v>127</v>
      </c>
      <c r="H176" s="8" t="s">
        <v>218</v>
      </c>
      <c r="I176" s="38" t="n">
        <v>25.92</v>
      </c>
      <c r="J176" s="8" t="s">
        <v>493</v>
      </c>
      <c r="K176" s="81" t="n">
        <f aca="false">(INDEX(08_Annahmen!$D$22:$D$29,MATCH($H176,08_Annahmen!$B$22:$B$29,0))/MAX($I176,15))^INDEX(08_Annahmen!$E$22:$E$29,MATCH($H176,08_Annahmen!$B$22:$B$29,0))</f>
        <v>1.51975349520037</v>
      </c>
      <c r="L176" s="82" t="n">
        <f aca="false">INDEX(08_Annahmen!$C$22:$C$29,MATCH($H176,08_Annahmen!$B$22:$B$29,0))*$K176*(1+INDEX(08_Annahmen!$F$22:$F$29,MATCH($H176,08_Annahmen!$B$22:$B$29,0)))*(1+08_Annahmen!$C$9)*(1+08_Annahmen!$C$14)*IF($J176="ja",08_Annahmen!$C$12,1)</f>
        <v>670.785758204551</v>
      </c>
      <c r="M176" s="28" t="n">
        <f aca="false">$L176*$I176</f>
        <v>17386.766852662</v>
      </c>
      <c r="N176" s="28" t="n">
        <f aca="false">$M176/12</f>
        <v>1448.89723772183</v>
      </c>
    </row>
    <row r="177" customFormat="false" ht="15" hidden="false" customHeight="false" outlineLevel="0" collapsed="false">
      <c r="B177" s="8" t="n">
        <v>171</v>
      </c>
      <c r="C177" s="8" t="s">
        <v>238</v>
      </c>
      <c r="D177" s="8" t="s">
        <v>99</v>
      </c>
      <c r="E177" s="8" t="s">
        <v>131</v>
      </c>
      <c r="F177" s="8" t="s">
        <v>218</v>
      </c>
      <c r="G177" s="8" t="s">
        <v>127</v>
      </c>
      <c r="H177" s="8" t="s">
        <v>218</v>
      </c>
      <c r="I177" s="38" t="n">
        <v>25.92</v>
      </c>
      <c r="J177" s="8" t="s">
        <v>493</v>
      </c>
      <c r="K177" s="81" t="n">
        <f aca="false">(INDEX(08_Annahmen!$D$22:$D$29,MATCH($H177,08_Annahmen!$B$22:$B$29,0))/MAX($I177,15))^INDEX(08_Annahmen!$E$22:$E$29,MATCH($H177,08_Annahmen!$B$22:$B$29,0))</f>
        <v>1.51975349520037</v>
      </c>
      <c r="L177" s="82" t="n">
        <f aca="false">INDEX(08_Annahmen!$C$22:$C$29,MATCH($H177,08_Annahmen!$B$22:$B$29,0))*$K177*(1+INDEX(08_Annahmen!$F$22:$F$29,MATCH($H177,08_Annahmen!$B$22:$B$29,0)))*(1+08_Annahmen!$C$9)*(1+08_Annahmen!$C$14)*IF($J177="ja",08_Annahmen!$C$12,1)</f>
        <v>670.785758204551</v>
      </c>
      <c r="M177" s="28" t="n">
        <f aca="false">$L177*$I177</f>
        <v>17386.766852662</v>
      </c>
      <c r="N177" s="28" t="n">
        <f aca="false">$M177/12</f>
        <v>1448.89723772183</v>
      </c>
    </row>
    <row r="178" customFormat="false" ht="15" hidden="false" customHeight="false" outlineLevel="0" collapsed="false">
      <c r="B178" s="8" t="n">
        <v>172</v>
      </c>
      <c r="C178" s="8" t="s">
        <v>238</v>
      </c>
      <c r="D178" s="8" t="s">
        <v>99</v>
      </c>
      <c r="E178" s="8" t="s">
        <v>131</v>
      </c>
      <c r="F178" s="8" t="s">
        <v>218</v>
      </c>
      <c r="G178" s="8" t="s">
        <v>127</v>
      </c>
      <c r="H178" s="8" t="s">
        <v>218</v>
      </c>
      <c r="I178" s="38" t="n">
        <v>25.92</v>
      </c>
      <c r="J178" s="8" t="s">
        <v>493</v>
      </c>
      <c r="K178" s="81" t="n">
        <f aca="false">(INDEX(08_Annahmen!$D$22:$D$29,MATCH($H178,08_Annahmen!$B$22:$B$29,0))/MAX($I178,15))^INDEX(08_Annahmen!$E$22:$E$29,MATCH($H178,08_Annahmen!$B$22:$B$29,0))</f>
        <v>1.51975349520037</v>
      </c>
      <c r="L178" s="82" t="n">
        <f aca="false">INDEX(08_Annahmen!$C$22:$C$29,MATCH($H178,08_Annahmen!$B$22:$B$29,0))*$K178*(1+INDEX(08_Annahmen!$F$22:$F$29,MATCH($H178,08_Annahmen!$B$22:$B$29,0)))*(1+08_Annahmen!$C$9)*(1+08_Annahmen!$C$14)*IF($J178="ja",08_Annahmen!$C$12,1)</f>
        <v>670.785758204551</v>
      </c>
      <c r="M178" s="28" t="n">
        <f aca="false">$L178*$I178</f>
        <v>17386.766852662</v>
      </c>
      <c r="N178" s="28" t="n">
        <f aca="false">$M178/12</f>
        <v>1448.89723772183</v>
      </c>
    </row>
    <row r="179" customFormat="false" ht="15" hidden="false" customHeight="false" outlineLevel="0" collapsed="false">
      <c r="B179" s="8" t="n">
        <v>173</v>
      </c>
      <c r="C179" s="8" t="s">
        <v>238</v>
      </c>
      <c r="D179" s="8" t="s">
        <v>99</v>
      </c>
      <c r="E179" s="8" t="s">
        <v>131</v>
      </c>
      <c r="F179" s="8" t="s">
        <v>218</v>
      </c>
      <c r="G179" s="8" t="s">
        <v>127</v>
      </c>
      <c r="H179" s="8" t="s">
        <v>218</v>
      </c>
      <c r="I179" s="38" t="n">
        <v>25.92</v>
      </c>
      <c r="J179" s="8" t="s">
        <v>493</v>
      </c>
      <c r="K179" s="81" t="n">
        <f aca="false">(INDEX(08_Annahmen!$D$22:$D$29,MATCH($H179,08_Annahmen!$B$22:$B$29,0))/MAX($I179,15))^INDEX(08_Annahmen!$E$22:$E$29,MATCH($H179,08_Annahmen!$B$22:$B$29,0))</f>
        <v>1.51975349520037</v>
      </c>
      <c r="L179" s="82" t="n">
        <f aca="false">INDEX(08_Annahmen!$C$22:$C$29,MATCH($H179,08_Annahmen!$B$22:$B$29,0))*$K179*(1+INDEX(08_Annahmen!$F$22:$F$29,MATCH($H179,08_Annahmen!$B$22:$B$29,0)))*(1+08_Annahmen!$C$9)*(1+08_Annahmen!$C$14)*IF($J179="ja",08_Annahmen!$C$12,1)</f>
        <v>670.785758204551</v>
      </c>
      <c r="M179" s="28" t="n">
        <f aca="false">$L179*$I179</f>
        <v>17386.766852662</v>
      </c>
      <c r="N179" s="28" t="n">
        <f aca="false">$M179/12</f>
        <v>1448.89723772183</v>
      </c>
    </row>
    <row r="180" customFormat="false" ht="15" hidden="false" customHeight="false" outlineLevel="0" collapsed="false">
      <c r="B180" s="8" t="n">
        <v>174</v>
      </c>
      <c r="C180" s="8" t="s">
        <v>238</v>
      </c>
      <c r="D180" s="8" t="s">
        <v>99</v>
      </c>
      <c r="E180" s="8" t="s">
        <v>131</v>
      </c>
      <c r="F180" s="8" t="s">
        <v>218</v>
      </c>
      <c r="G180" s="8" t="s">
        <v>127</v>
      </c>
      <c r="H180" s="8" t="s">
        <v>218</v>
      </c>
      <c r="I180" s="38" t="n">
        <v>25.92</v>
      </c>
      <c r="J180" s="8" t="s">
        <v>493</v>
      </c>
      <c r="K180" s="81" t="n">
        <f aca="false">(INDEX(08_Annahmen!$D$22:$D$29,MATCH($H180,08_Annahmen!$B$22:$B$29,0))/MAX($I180,15))^INDEX(08_Annahmen!$E$22:$E$29,MATCH($H180,08_Annahmen!$B$22:$B$29,0))</f>
        <v>1.51975349520037</v>
      </c>
      <c r="L180" s="82" t="n">
        <f aca="false">INDEX(08_Annahmen!$C$22:$C$29,MATCH($H180,08_Annahmen!$B$22:$B$29,0))*$K180*(1+INDEX(08_Annahmen!$F$22:$F$29,MATCH($H180,08_Annahmen!$B$22:$B$29,0)))*(1+08_Annahmen!$C$9)*(1+08_Annahmen!$C$14)*IF($J180="ja",08_Annahmen!$C$12,1)</f>
        <v>670.785758204551</v>
      </c>
      <c r="M180" s="28" t="n">
        <f aca="false">$L180*$I180</f>
        <v>17386.766852662</v>
      </c>
      <c r="N180" s="28" t="n">
        <f aca="false">$M180/12</f>
        <v>1448.89723772183</v>
      </c>
    </row>
    <row r="181" customFormat="false" ht="15" hidden="false" customHeight="false" outlineLevel="0" collapsed="false">
      <c r="B181" s="8" t="n">
        <v>175</v>
      </c>
      <c r="C181" s="8" t="s">
        <v>238</v>
      </c>
      <c r="D181" s="8" t="s">
        <v>99</v>
      </c>
      <c r="E181" s="8" t="s">
        <v>131</v>
      </c>
      <c r="F181" s="8" t="s">
        <v>218</v>
      </c>
      <c r="G181" s="8" t="s">
        <v>127</v>
      </c>
      <c r="H181" s="8" t="s">
        <v>218</v>
      </c>
      <c r="I181" s="38" t="n">
        <v>25.92</v>
      </c>
      <c r="J181" s="8" t="s">
        <v>493</v>
      </c>
      <c r="K181" s="81" t="n">
        <f aca="false">(INDEX(08_Annahmen!$D$22:$D$29,MATCH($H181,08_Annahmen!$B$22:$B$29,0))/MAX($I181,15))^INDEX(08_Annahmen!$E$22:$E$29,MATCH($H181,08_Annahmen!$B$22:$B$29,0))</f>
        <v>1.51975349520037</v>
      </c>
      <c r="L181" s="82" t="n">
        <f aca="false">INDEX(08_Annahmen!$C$22:$C$29,MATCH($H181,08_Annahmen!$B$22:$B$29,0))*$K181*(1+INDEX(08_Annahmen!$F$22:$F$29,MATCH($H181,08_Annahmen!$B$22:$B$29,0)))*(1+08_Annahmen!$C$9)*(1+08_Annahmen!$C$14)*IF($J181="ja",08_Annahmen!$C$12,1)</f>
        <v>670.785758204551</v>
      </c>
      <c r="M181" s="28" t="n">
        <f aca="false">$L181*$I181</f>
        <v>17386.766852662</v>
      </c>
      <c r="N181" s="28" t="n">
        <f aca="false">$M181/12</f>
        <v>1448.89723772183</v>
      </c>
    </row>
    <row r="182" customFormat="false" ht="15" hidden="false" customHeight="false" outlineLevel="0" collapsed="false">
      <c r="B182" s="8" t="n">
        <v>176</v>
      </c>
      <c r="C182" s="8" t="s">
        <v>238</v>
      </c>
      <c r="D182" s="8" t="s">
        <v>99</v>
      </c>
      <c r="E182" s="8" t="s">
        <v>131</v>
      </c>
      <c r="F182" s="8" t="s">
        <v>218</v>
      </c>
      <c r="G182" s="8" t="s">
        <v>127</v>
      </c>
      <c r="H182" s="8" t="s">
        <v>218</v>
      </c>
      <c r="I182" s="38" t="n">
        <v>25.92</v>
      </c>
      <c r="J182" s="8" t="s">
        <v>493</v>
      </c>
      <c r="K182" s="81" t="n">
        <f aca="false">(INDEX(08_Annahmen!$D$22:$D$29,MATCH($H182,08_Annahmen!$B$22:$B$29,0))/MAX($I182,15))^INDEX(08_Annahmen!$E$22:$E$29,MATCH($H182,08_Annahmen!$B$22:$B$29,0))</f>
        <v>1.51975349520037</v>
      </c>
      <c r="L182" s="82" t="n">
        <f aca="false">INDEX(08_Annahmen!$C$22:$C$29,MATCH($H182,08_Annahmen!$B$22:$B$29,0))*$K182*(1+INDEX(08_Annahmen!$F$22:$F$29,MATCH($H182,08_Annahmen!$B$22:$B$29,0)))*(1+08_Annahmen!$C$9)*(1+08_Annahmen!$C$14)*IF($J182="ja",08_Annahmen!$C$12,1)</f>
        <v>670.785758204551</v>
      </c>
      <c r="M182" s="28" t="n">
        <f aca="false">$L182*$I182</f>
        <v>17386.766852662</v>
      </c>
      <c r="N182" s="28" t="n">
        <f aca="false">$M182/12</f>
        <v>1448.89723772183</v>
      </c>
    </row>
    <row r="183" customFormat="false" ht="15" hidden="false" customHeight="false" outlineLevel="0" collapsed="false">
      <c r="B183" s="8" t="n">
        <v>177</v>
      </c>
      <c r="C183" s="8" t="s">
        <v>238</v>
      </c>
      <c r="D183" s="8" t="s">
        <v>99</v>
      </c>
      <c r="E183" s="8" t="s">
        <v>131</v>
      </c>
      <c r="F183" s="8" t="s">
        <v>218</v>
      </c>
      <c r="G183" s="8" t="s">
        <v>127</v>
      </c>
      <c r="H183" s="8" t="s">
        <v>218</v>
      </c>
      <c r="I183" s="38" t="n">
        <v>25.92</v>
      </c>
      <c r="J183" s="8" t="s">
        <v>493</v>
      </c>
      <c r="K183" s="81" t="n">
        <f aca="false">(INDEX(08_Annahmen!$D$22:$D$29,MATCH($H183,08_Annahmen!$B$22:$B$29,0))/MAX($I183,15))^INDEX(08_Annahmen!$E$22:$E$29,MATCH($H183,08_Annahmen!$B$22:$B$29,0))</f>
        <v>1.51975349520037</v>
      </c>
      <c r="L183" s="82" t="n">
        <f aca="false">INDEX(08_Annahmen!$C$22:$C$29,MATCH($H183,08_Annahmen!$B$22:$B$29,0))*$K183*(1+INDEX(08_Annahmen!$F$22:$F$29,MATCH($H183,08_Annahmen!$B$22:$B$29,0)))*(1+08_Annahmen!$C$9)*(1+08_Annahmen!$C$14)*IF($J183="ja",08_Annahmen!$C$12,1)</f>
        <v>670.785758204551</v>
      </c>
      <c r="M183" s="28" t="n">
        <f aca="false">$L183*$I183</f>
        <v>17386.766852662</v>
      </c>
      <c r="N183" s="28" t="n">
        <f aca="false">$M183/12</f>
        <v>1448.89723772183</v>
      </c>
    </row>
    <row r="184" customFormat="false" ht="15" hidden="false" customHeight="false" outlineLevel="0" collapsed="false">
      <c r="B184" s="8" t="n">
        <v>178</v>
      </c>
      <c r="C184" s="8" t="s">
        <v>238</v>
      </c>
      <c r="D184" s="8" t="s">
        <v>99</v>
      </c>
      <c r="E184" s="8" t="s">
        <v>131</v>
      </c>
      <c r="F184" s="8" t="s">
        <v>218</v>
      </c>
      <c r="G184" s="8" t="s">
        <v>127</v>
      </c>
      <c r="H184" s="8" t="s">
        <v>218</v>
      </c>
      <c r="I184" s="38" t="n">
        <v>25.92</v>
      </c>
      <c r="J184" s="8" t="s">
        <v>493</v>
      </c>
      <c r="K184" s="81" t="n">
        <f aca="false">(INDEX(08_Annahmen!$D$22:$D$29,MATCH($H184,08_Annahmen!$B$22:$B$29,0))/MAX($I184,15))^INDEX(08_Annahmen!$E$22:$E$29,MATCH($H184,08_Annahmen!$B$22:$B$29,0))</f>
        <v>1.51975349520037</v>
      </c>
      <c r="L184" s="82" t="n">
        <f aca="false">INDEX(08_Annahmen!$C$22:$C$29,MATCH($H184,08_Annahmen!$B$22:$B$29,0))*$K184*(1+INDEX(08_Annahmen!$F$22:$F$29,MATCH($H184,08_Annahmen!$B$22:$B$29,0)))*(1+08_Annahmen!$C$9)*(1+08_Annahmen!$C$14)*IF($J184="ja",08_Annahmen!$C$12,1)</f>
        <v>670.785758204551</v>
      </c>
      <c r="M184" s="28" t="n">
        <f aca="false">$L184*$I184</f>
        <v>17386.766852662</v>
      </c>
      <c r="N184" s="28" t="n">
        <f aca="false">$M184/12</f>
        <v>1448.89723772183</v>
      </c>
    </row>
    <row r="185" customFormat="false" ht="15" hidden="false" customHeight="false" outlineLevel="0" collapsed="false">
      <c r="B185" s="8" t="n">
        <v>179</v>
      </c>
      <c r="C185" s="8" t="s">
        <v>238</v>
      </c>
      <c r="D185" s="8" t="s">
        <v>99</v>
      </c>
      <c r="E185" s="8" t="s">
        <v>131</v>
      </c>
      <c r="F185" s="8" t="s">
        <v>218</v>
      </c>
      <c r="G185" s="8" t="s">
        <v>127</v>
      </c>
      <c r="H185" s="8" t="s">
        <v>218</v>
      </c>
      <c r="I185" s="38" t="n">
        <v>25.92</v>
      </c>
      <c r="J185" s="8" t="s">
        <v>493</v>
      </c>
      <c r="K185" s="81" t="n">
        <f aca="false">(INDEX(08_Annahmen!$D$22:$D$29,MATCH($H185,08_Annahmen!$B$22:$B$29,0))/MAX($I185,15))^INDEX(08_Annahmen!$E$22:$E$29,MATCH($H185,08_Annahmen!$B$22:$B$29,0))</f>
        <v>1.51975349520037</v>
      </c>
      <c r="L185" s="82" t="n">
        <f aca="false">INDEX(08_Annahmen!$C$22:$C$29,MATCH($H185,08_Annahmen!$B$22:$B$29,0))*$K185*(1+INDEX(08_Annahmen!$F$22:$F$29,MATCH($H185,08_Annahmen!$B$22:$B$29,0)))*(1+08_Annahmen!$C$9)*(1+08_Annahmen!$C$14)*IF($J185="ja",08_Annahmen!$C$12,1)</f>
        <v>670.785758204551</v>
      </c>
      <c r="M185" s="28" t="n">
        <f aca="false">$L185*$I185</f>
        <v>17386.766852662</v>
      </c>
      <c r="N185" s="28" t="n">
        <f aca="false">$M185/12</f>
        <v>1448.89723772183</v>
      </c>
    </row>
    <row r="186" customFormat="false" ht="15" hidden="false" customHeight="false" outlineLevel="0" collapsed="false">
      <c r="B186" s="8" t="n">
        <v>180</v>
      </c>
      <c r="C186" s="8" t="s">
        <v>238</v>
      </c>
      <c r="D186" s="8" t="s">
        <v>99</v>
      </c>
      <c r="E186" s="8" t="s">
        <v>131</v>
      </c>
      <c r="F186" s="8" t="s">
        <v>218</v>
      </c>
      <c r="G186" s="8" t="s">
        <v>127</v>
      </c>
      <c r="H186" s="8" t="s">
        <v>218</v>
      </c>
      <c r="I186" s="38" t="n">
        <v>25.92</v>
      </c>
      <c r="J186" s="8" t="s">
        <v>493</v>
      </c>
      <c r="K186" s="81" t="n">
        <f aca="false">(INDEX(08_Annahmen!$D$22:$D$29,MATCH($H186,08_Annahmen!$B$22:$B$29,0))/MAX($I186,15))^INDEX(08_Annahmen!$E$22:$E$29,MATCH($H186,08_Annahmen!$B$22:$B$29,0))</f>
        <v>1.51975349520037</v>
      </c>
      <c r="L186" s="82" t="n">
        <f aca="false">INDEX(08_Annahmen!$C$22:$C$29,MATCH($H186,08_Annahmen!$B$22:$B$29,0))*$K186*(1+INDEX(08_Annahmen!$F$22:$F$29,MATCH($H186,08_Annahmen!$B$22:$B$29,0)))*(1+08_Annahmen!$C$9)*(1+08_Annahmen!$C$14)*IF($J186="ja",08_Annahmen!$C$12,1)</f>
        <v>670.785758204551</v>
      </c>
      <c r="M186" s="28" t="n">
        <f aca="false">$L186*$I186</f>
        <v>17386.766852662</v>
      </c>
      <c r="N186" s="28" t="n">
        <f aca="false">$M186/12</f>
        <v>1448.89723772183</v>
      </c>
    </row>
    <row r="187" customFormat="false" ht="15" hidden="false" customHeight="false" outlineLevel="0" collapsed="false">
      <c r="B187" s="8" t="n">
        <v>181</v>
      </c>
      <c r="C187" s="8" t="s">
        <v>238</v>
      </c>
      <c r="D187" s="8" t="s">
        <v>99</v>
      </c>
      <c r="E187" s="8" t="s">
        <v>131</v>
      </c>
      <c r="F187" s="8" t="s">
        <v>218</v>
      </c>
      <c r="G187" s="8" t="s">
        <v>127</v>
      </c>
      <c r="H187" s="8" t="s">
        <v>218</v>
      </c>
      <c r="I187" s="38" t="n">
        <v>25.92</v>
      </c>
      <c r="J187" s="8" t="s">
        <v>493</v>
      </c>
      <c r="K187" s="81" t="n">
        <f aca="false">(INDEX(08_Annahmen!$D$22:$D$29,MATCH($H187,08_Annahmen!$B$22:$B$29,0))/MAX($I187,15))^INDEX(08_Annahmen!$E$22:$E$29,MATCH($H187,08_Annahmen!$B$22:$B$29,0))</f>
        <v>1.51975349520037</v>
      </c>
      <c r="L187" s="82" t="n">
        <f aca="false">INDEX(08_Annahmen!$C$22:$C$29,MATCH($H187,08_Annahmen!$B$22:$B$29,0))*$K187*(1+INDEX(08_Annahmen!$F$22:$F$29,MATCH($H187,08_Annahmen!$B$22:$B$29,0)))*(1+08_Annahmen!$C$9)*(1+08_Annahmen!$C$14)*IF($J187="ja",08_Annahmen!$C$12,1)</f>
        <v>670.785758204551</v>
      </c>
      <c r="M187" s="28" t="n">
        <f aca="false">$L187*$I187</f>
        <v>17386.766852662</v>
      </c>
      <c r="N187" s="28" t="n">
        <f aca="false">$M187/12</f>
        <v>1448.89723772183</v>
      </c>
    </row>
    <row r="188" customFormat="false" ht="15" hidden="false" customHeight="false" outlineLevel="0" collapsed="false">
      <c r="B188" s="8" t="n">
        <v>182</v>
      </c>
      <c r="C188" s="8" t="s">
        <v>238</v>
      </c>
      <c r="D188" s="8" t="s">
        <v>99</v>
      </c>
      <c r="E188" s="8" t="s">
        <v>131</v>
      </c>
      <c r="F188" s="8" t="s">
        <v>218</v>
      </c>
      <c r="G188" s="8" t="s">
        <v>127</v>
      </c>
      <c r="H188" s="8" t="s">
        <v>218</v>
      </c>
      <c r="I188" s="38" t="n">
        <v>25.92</v>
      </c>
      <c r="J188" s="8" t="s">
        <v>493</v>
      </c>
      <c r="K188" s="81" t="n">
        <f aca="false">(INDEX(08_Annahmen!$D$22:$D$29,MATCH($H188,08_Annahmen!$B$22:$B$29,0))/MAX($I188,15))^INDEX(08_Annahmen!$E$22:$E$29,MATCH($H188,08_Annahmen!$B$22:$B$29,0))</f>
        <v>1.51975349520037</v>
      </c>
      <c r="L188" s="82" t="n">
        <f aca="false">INDEX(08_Annahmen!$C$22:$C$29,MATCH($H188,08_Annahmen!$B$22:$B$29,0))*$K188*(1+INDEX(08_Annahmen!$F$22:$F$29,MATCH($H188,08_Annahmen!$B$22:$B$29,0)))*(1+08_Annahmen!$C$9)*(1+08_Annahmen!$C$14)*IF($J188="ja",08_Annahmen!$C$12,1)</f>
        <v>670.785758204551</v>
      </c>
      <c r="M188" s="28" t="n">
        <f aca="false">$L188*$I188</f>
        <v>17386.766852662</v>
      </c>
      <c r="N188" s="28" t="n">
        <f aca="false">$M188/12</f>
        <v>1448.89723772183</v>
      </c>
    </row>
    <row r="189" customFormat="false" ht="15" hidden="false" customHeight="false" outlineLevel="0" collapsed="false">
      <c r="B189" s="8" t="n">
        <v>183</v>
      </c>
      <c r="C189" s="8" t="s">
        <v>238</v>
      </c>
      <c r="D189" s="8" t="s">
        <v>99</v>
      </c>
      <c r="E189" s="8" t="s">
        <v>131</v>
      </c>
      <c r="F189" s="8" t="s">
        <v>218</v>
      </c>
      <c r="G189" s="8" t="s">
        <v>127</v>
      </c>
      <c r="H189" s="8" t="s">
        <v>218</v>
      </c>
      <c r="I189" s="38" t="n">
        <v>25.92</v>
      </c>
      <c r="J189" s="8" t="s">
        <v>493</v>
      </c>
      <c r="K189" s="81" t="n">
        <f aca="false">(INDEX(08_Annahmen!$D$22:$D$29,MATCH($H189,08_Annahmen!$B$22:$B$29,0))/MAX($I189,15))^INDEX(08_Annahmen!$E$22:$E$29,MATCH($H189,08_Annahmen!$B$22:$B$29,0))</f>
        <v>1.51975349520037</v>
      </c>
      <c r="L189" s="82" t="n">
        <f aca="false">INDEX(08_Annahmen!$C$22:$C$29,MATCH($H189,08_Annahmen!$B$22:$B$29,0))*$K189*(1+INDEX(08_Annahmen!$F$22:$F$29,MATCH($H189,08_Annahmen!$B$22:$B$29,0)))*(1+08_Annahmen!$C$9)*(1+08_Annahmen!$C$14)*IF($J189="ja",08_Annahmen!$C$12,1)</f>
        <v>670.785758204551</v>
      </c>
      <c r="M189" s="28" t="n">
        <f aca="false">$L189*$I189</f>
        <v>17386.766852662</v>
      </c>
      <c r="N189" s="28" t="n">
        <f aca="false">$M189/12</f>
        <v>1448.89723772183</v>
      </c>
    </row>
    <row r="190" customFormat="false" ht="15" hidden="false" customHeight="false" outlineLevel="0" collapsed="false">
      <c r="B190" s="8" t="n">
        <v>184</v>
      </c>
      <c r="C190" s="8" t="s">
        <v>238</v>
      </c>
      <c r="D190" s="8" t="s">
        <v>99</v>
      </c>
      <c r="E190" s="8" t="s">
        <v>131</v>
      </c>
      <c r="F190" s="8" t="s">
        <v>218</v>
      </c>
      <c r="G190" s="8" t="s">
        <v>127</v>
      </c>
      <c r="H190" s="8" t="s">
        <v>218</v>
      </c>
      <c r="I190" s="38" t="n">
        <v>25.92</v>
      </c>
      <c r="J190" s="8" t="s">
        <v>493</v>
      </c>
      <c r="K190" s="81" t="n">
        <f aca="false">(INDEX(08_Annahmen!$D$22:$D$29,MATCH($H190,08_Annahmen!$B$22:$B$29,0))/MAX($I190,15))^INDEX(08_Annahmen!$E$22:$E$29,MATCH($H190,08_Annahmen!$B$22:$B$29,0))</f>
        <v>1.51975349520037</v>
      </c>
      <c r="L190" s="82" t="n">
        <f aca="false">INDEX(08_Annahmen!$C$22:$C$29,MATCH($H190,08_Annahmen!$B$22:$B$29,0))*$K190*(1+INDEX(08_Annahmen!$F$22:$F$29,MATCH($H190,08_Annahmen!$B$22:$B$29,0)))*(1+08_Annahmen!$C$9)*(1+08_Annahmen!$C$14)*IF($J190="ja",08_Annahmen!$C$12,1)</f>
        <v>670.785758204551</v>
      </c>
      <c r="M190" s="28" t="n">
        <f aca="false">$L190*$I190</f>
        <v>17386.766852662</v>
      </c>
      <c r="N190" s="28" t="n">
        <f aca="false">$M190/12</f>
        <v>1448.89723772183</v>
      </c>
    </row>
    <row r="191" customFormat="false" ht="15" hidden="false" customHeight="false" outlineLevel="0" collapsed="false">
      <c r="B191" s="8" t="n">
        <v>185</v>
      </c>
      <c r="C191" s="8" t="s">
        <v>238</v>
      </c>
      <c r="D191" s="8" t="s">
        <v>99</v>
      </c>
      <c r="E191" s="8" t="s">
        <v>131</v>
      </c>
      <c r="F191" s="8" t="s">
        <v>218</v>
      </c>
      <c r="G191" s="8" t="s">
        <v>127</v>
      </c>
      <c r="H191" s="8" t="s">
        <v>218</v>
      </c>
      <c r="I191" s="38" t="n">
        <v>25.92</v>
      </c>
      <c r="J191" s="8" t="s">
        <v>493</v>
      </c>
      <c r="K191" s="81" t="n">
        <f aca="false">(INDEX(08_Annahmen!$D$22:$D$29,MATCH($H191,08_Annahmen!$B$22:$B$29,0))/MAX($I191,15))^INDEX(08_Annahmen!$E$22:$E$29,MATCH($H191,08_Annahmen!$B$22:$B$29,0))</f>
        <v>1.51975349520037</v>
      </c>
      <c r="L191" s="82" t="n">
        <f aca="false">INDEX(08_Annahmen!$C$22:$C$29,MATCH($H191,08_Annahmen!$B$22:$B$29,0))*$K191*(1+INDEX(08_Annahmen!$F$22:$F$29,MATCH($H191,08_Annahmen!$B$22:$B$29,0)))*(1+08_Annahmen!$C$9)*(1+08_Annahmen!$C$14)*IF($J191="ja",08_Annahmen!$C$12,1)</f>
        <v>670.785758204551</v>
      </c>
      <c r="M191" s="28" t="n">
        <f aca="false">$L191*$I191</f>
        <v>17386.766852662</v>
      </c>
      <c r="N191" s="28" t="n">
        <f aca="false">$M191/12</f>
        <v>1448.89723772183</v>
      </c>
    </row>
    <row r="192" customFormat="false" ht="15" hidden="false" customHeight="false" outlineLevel="0" collapsed="false">
      <c r="B192" s="8" t="n">
        <v>186</v>
      </c>
      <c r="C192" s="8" t="s">
        <v>238</v>
      </c>
      <c r="D192" s="8" t="s">
        <v>99</v>
      </c>
      <c r="E192" s="8" t="s">
        <v>131</v>
      </c>
      <c r="F192" s="8" t="s">
        <v>218</v>
      </c>
      <c r="G192" s="8" t="s">
        <v>127</v>
      </c>
      <c r="H192" s="8" t="s">
        <v>218</v>
      </c>
      <c r="I192" s="38" t="n">
        <v>25.92</v>
      </c>
      <c r="J192" s="8" t="s">
        <v>493</v>
      </c>
      <c r="K192" s="81" t="n">
        <f aca="false">(INDEX(08_Annahmen!$D$22:$D$29,MATCH($H192,08_Annahmen!$B$22:$B$29,0))/MAX($I192,15))^INDEX(08_Annahmen!$E$22:$E$29,MATCH($H192,08_Annahmen!$B$22:$B$29,0))</f>
        <v>1.51975349520037</v>
      </c>
      <c r="L192" s="82" t="n">
        <f aca="false">INDEX(08_Annahmen!$C$22:$C$29,MATCH($H192,08_Annahmen!$B$22:$B$29,0))*$K192*(1+INDEX(08_Annahmen!$F$22:$F$29,MATCH($H192,08_Annahmen!$B$22:$B$29,0)))*(1+08_Annahmen!$C$9)*(1+08_Annahmen!$C$14)*IF($J192="ja",08_Annahmen!$C$12,1)</f>
        <v>670.785758204551</v>
      </c>
      <c r="M192" s="28" t="n">
        <f aca="false">$L192*$I192</f>
        <v>17386.766852662</v>
      </c>
      <c r="N192" s="28" t="n">
        <f aca="false">$M192/12</f>
        <v>1448.89723772183</v>
      </c>
    </row>
    <row r="193" customFormat="false" ht="15" hidden="false" customHeight="false" outlineLevel="0" collapsed="false">
      <c r="B193" s="8" t="n">
        <v>187</v>
      </c>
      <c r="C193" s="8" t="s">
        <v>238</v>
      </c>
      <c r="D193" s="8" t="s">
        <v>99</v>
      </c>
      <c r="E193" s="8" t="s">
        <v>131</v>
      </c>
      <c r="F193" s="8" t="s">
        <v>218</v>
      </c>
      <c r="G193" s="8" t="s">
        <v>127</v>
      </c>
      <c r="H193" s="8" t="s">
        <v>218</v>
      </c>
      <c r="I193" s="38" t="n">
        <v>25.92</v>
      </c>
      <c r="J193" s="8" t="s">
        <v>493</v>
      </c>
      <c r="K193" s="81" t="n">
        <f aca="false">(INDEX(08_Annahmen!$D$22:$D$29,MATCH($H193,08_Annahmen!$B$22:$B$29,0))/MAX($I193,15))^INDEX(08_Annahmen!$E$22:$E$29,MATCH($H193,08_Annahmen!$B$22:$B$29,0))</f>
        <v>1.51975349520037</v>
      </c>
      <c r="L193" s="82" t="n">
        <f aca="false">INDEX(08_Annahmen!$C$22:$C$29,MATCH($H193,08_Annahmen!$B$22:$B$29,0))*$K193*(1+INDEX(08_Annahmen!$F$22:$F$29,MATCH($H193,08_Annahmen!$B$22:$B$29,0)))*(1+08_Annahmen!$C$9)*(1+08_Annahmen!$C$14)*IF($J193="ja",08_Annahmen!$C$12,1)</f>
        <v>670.785758204551</v>
      </c>
      <c r="M193" s="28" t="n">
        <f aca="false">$L193*$I193</f>
        <v>17386.766852662</v>
      </c>
      <c r="N193" s="28" t="n">
        <f aca="false">$M193/12</f>
        <v>1448.89723772183</v>
      </c>
    </row>
    <row r="194" customFormat="false" ht="15" hidden="false" customHeight="false" outlineLevel="0" collapsed="false">
      <c r="B194" s="8" t="n">
        <v>188</v>
      </c>
      <c r="C194" s="8" t="s">
        <v>238</v>
      </c>
      <c r="D194" s="8" t="s">
        <v>99</v>
      </c>
      <c r="E194" s="8" t="s">
        <v>131</v>
      </c>
      <c r="F194" s="8" t="s">
        <v>218</v>
      </c>
      <c r="G194" s="8" t="s">
        <v>127</v>
      </c>
      <c r="H194" s="8" t="s">
        <v>218</v>
      </c>
      <c r="I194" s="38" t="n">
        <v>25.92</v>
      </c>
      <c r="J194" s="8" t="s">
        <v>493</v>
      </c>
      <c r="K194" s="81" t="n">
        <f aca="false">(INDEX(08_Annahmen!$D$22:$D$29,MATCH($H194,08_Annahmen!$B$22:$B$29,0))/MAX($I194,15))^INDEX(08_Annahmen!$E$22:$E$29,MATCH($H194,08_Annahmen!$B$22:$B$29,0))</f>
        <v>1.51975349520037</v>
      </c>
      <c r="L194" s="82" t="n">
        <f aca="false">INDEX(08_Annahmen!$C$22:$C$29,MATCH($H194,08_Annahmen!$B$22:$B$29,0))*$K194*(1+INDEX(08_Annahmen!$F$22:$F$29,MATCH($H194,08_Annahmen!$B$22:$B$29,0)))*(1+08_Annahmen!$C$9)*(1+08_Annahmen!$C$14)*IF($J194="ja",08_Annahmen!$C$12,1)</f>
        <v>670.785758204551</v>
      </c>
      <c r="M194" s="28" t="n">
        <f aca="false">$L194*$I194</f>
        <v>17386.766852662</v>
      </c>
      <c r="N194" s="28" t="n">
        <f aca="false">$M194/12</f>
        <v>1448.89723772183</v>
      </c>
    </row>
    <row r="195" customFormat="false" ht="15" hidden="false" customHeight="false" outlineLevel="0" collapsed="false">
      <c r="B195" s="8" t="n">
        <v>189</v>
      </c>
      <c r="C195" s="8" t="s">
        <v>238</v>
      </c>
      <c r="D195" s="8" t="s">
        <v>99</v>
      </c>
      <c r="E195" s="8" t="s">
        <v>131</v>
      </c>
      <c r="F195" s="8" t="s">
        <v>218</v>
      </c>
      <c r="G195" s="8" t="s">
        <v>127</v>
      </c>
      <c r="H195" s="8" t="s">
        <v>218</v>
      </c>
      <c r="I195" s="38" t="n">
        <v>25.92</v>
      </c>
      <c r="J195" s="8" t="s">
        <v>493</v>
      </c>
      <c r="K195" s="81" t="n">
        <f aca="false">(INDEX(08_Annahmen!$D$22:$D$29,MATCH($H195,08_Annahmen!$B$22:$B$29,0))/MAX($I195,15))^INDEX(08_Annahmen!$E$22:$E$29,MATCH($H195,08_Annahmen!$B$22:$B$29,0))</f>
        <v>1.51975349520037</v>
      </c>
      <c r="L195" s="82" t="n">
        <f aca="false">INDEX(08_Annahmen!$C$22:$C$29,MATCH($H195,08_Annahmen!$B$22:$B$29,0))*$K195*(1+INDEX(08_Annahmen!$F$22:$F$29,MATCH($H195,08_Annahmen!$B$22:$B$29,0)))*(1+08_Annahmen!$C$9)*(1+08_Annahmen!$C$14)*IF($J195="ja",08_Annahmen!$C$12,1)</f>
        <v>670.785758204551</v>
      </c>
      <c r="M195" s="28" t="n">
        <f aca="false">$L195*$I195</f>
        <v>17386.766852662</v>
      </c>
      <c r="N195" s="28" t="n">
        <f aca="false">$M195/12</f>
        <v>1448.89723772183</v>
      </c>
    </row>
    <row r="196" customFormat="false" ht="15" hidden="false" customHeight="false" outlineLevel="0" collapsed="false">
      <c r="B196" s="8" t="n">
        <v>190</v>
      </c>
      <c r="C196" s="8" t="s">
        <v>238</v>
      </c>
      <c r="D196" s="8" t="s">
        <v>99</v>
      </c>
      <c r="E196" s="8" t="s">
        <v>131</v>
      </c>
      <c r="F196" s="8" t="s">
        <v>218</v>
      </c>
      <c r="G196" s="8" t="s">
        <v>127</v>
      </c>
      <c r="H196" s="8" t="s">
        <v>218</v>
      </c>
      <c r="I196" s="38" t="n">
        <v>25.92</v>
      </c>
      <c r="J196" s="8" t="s">
        <v>493</v>
      </c>
      <c r="K196" s="81" t="n">
        <f aca="false">(INDEX(08_Annahmen!$D$22:$D$29,MATCH($H196,08_Annahmen!$B$22:$B$29,0))/MAX($I196,15))^INDEX(08_Annahmen!$E$22:$E$29,MATCH($H196,08_Annahmen!$B$22:$B$29,0))</f>
        <v>1.51975349520037</v>
      </c>
      <c r="L196" s="82" t="n">
        <f aca="false">INDEX(08_Annahmen!$C$22:$C$29,MATCH($H196,08_Annahmen!$B$22:$B$29,0))*$K196*(1+INDEX(08_Annahmen!$F$22:$F$29,MATCH($H196,08_Annahmen!$B$22:$B$29,0)))*(1+08_Annahmen!$C$9)*(1+08_Annahmen!$C$14)*IF($J196="ja",08_Annahmen!$C$12,1)</f>
        <v>670.785758204551</v>
      </c>
      <c r="M196" s="28" t="n">
        <f aca="false">$L196*$I196</f>
        <v>17386.766852662</v>
      </c>
      <c r="N196" s="28" t="n">
        <f aca="false">$M196/12</f>
        <v>1448.89723772183</v>
      </c>
    </row>
    <row r="197" customFormat="false" ht="15" hidden="false" customHeight="false" outlineLevel="0" collapsed="false">
      <c r="B197" s="8" t="n">
        <v>191</v>
      </c>
      <c r="C197" s="8" t="s">
        <v>238</v>
      </c>
      <c r="D197" s="8" t="s">
        <v>99</v>
      </c>
      <c r="E197" s="8" t="s">
        <v>131</v>
      </c>
      <c r="F197" s="8" t="s">
        <v>218</v>
      </c>
      <c r="G197" s="8" t="s">
        <v>127</v>
      </c>
      <c r="H197" s="8" t="s">
        <v>218</v>
      </c>
      <c r="I197" s="38" t="n">
        <v>25.92</v>
      </c>
      <c r="J197" s="8" t="s">
        <v>493</v>
      </c>
      <c r="K197" s="81" t="n">
        <f aca="false">(INDEX(08_Annahmen!$D$22:$D$29,MATCH($H197,08_Annahmen!$B$22:$B$29,0))/MAX($I197,15))^INDEX(08_Annahmen!$E$22:$E$29,MATCH($H197,08_Annahmen!$B$22:$B$29,0))</f>
        <v>1.51975349520037</v>
      </c>
      <c r="L197" s="82" t="n">
        <f aca="false">INDEX(08_Annahmen!$C$22:$C$29,MATCH($H197,08_Annahmen!$B$22:$B$29,0))*$K197*(1+INDEX(08_Annahmen!$F$22:$F$29,MATCH($H197,08_Annahmen!$B$22:$B$29,0)))*(1+08_Annahmen!$C$9)*(1+08_Annahmen!$C$14)*IF($J197="ja",08_Annahmen!$C$12,1)</f>
        <v>670.785758204551</v>
      </c>
      <c r="M197" s="28" t="n">
        <f aca="false">$L197*$I197</f>
        <v>17386.766852662</v>
      </c>
      <c r="N197" s="28" t="n">
        <f aca="false">$M197/12</f>
        <v>1448.89723772183</v>
      </c>
    </row>
    <row r="198" customFormat="false" ht="15" hidden="false" customHeight="false" outlineLevel="0" collapsed="false">
      <c r="B198" s="8" t="n">
        <v>192</v>
      </c>
      <c r="C198" s="8" t="s">
        <v>238</v>
      </c>
      <c r="D198" s="8" t="s">
        <v>99</v>
      </c>
      <c r="E198" s="8" t="s">
        <v>131</v>
      </c>
      <c r="F198" s="8" t="s">
        <v>218</v>
      </c>
      <c r="G198" s="8" t="s">
        <v>127</v>
      </c>
      <c r="H198" s="8" t="s">
        <v>218</v>
      </c>
      <c r="I198" s="38" t="n">
        <v>25.92</v>
      </c>
      <c r="J198" s="8" t="s">
        <v>493</v>
      </c>
      <c r="K198" s="81" t="n">
        <f aca="false">(INDEX(08_Annahmen!$D$22:$D$29,MATCH($H198,08_Annahmen!$B$22:$B$29,0))/MAX($I198,15))^INDEX(08_Annahmen!$E$22:$E$29,MATCH($H198,08_Annahmen!$B$22:$B$29,0))</f>
        <v>1.51975349520037</v>
      </c>
      <c r="L198" s="82" t="n">
        <f aca="false">INDEX(08_Annahmen!$C$22:$C$29,MATCH($H198,08_Annahmen!$B$22:$B$29,0))*$K198*(1+INDEX(08_Annahmen!$F$22:$F$29,MATCH($H198,08_Annahmen!$B$22:$B$29,0)))*(1+08_Annahmen!$C$9)*(1+08_Annahmen!$C$14)*IF($J198="ja",08_Annahmen!$C$12,1)</f>
        <v>670.785758204551</v>
      </c>
      <c r="M198" s="28" t="n">
        <f aca="false">$L198*$I198</f>
        <v>17386.766852662</v>
      </c>
      <c r="N198" s="28" t="n">
        <f aca="false">$M198/12</f>
        <v>1448.89723772183</v>
      </c>
    </row>
    <row r="199" customFormat="false" ht="15" hidden="false" customHeight="false" outlineLevel="0" collapsed="false">
      <c r="B199" s="8" t="n">
        <v>193</v>
      </c>
      <c r="C199" s="8" t="s">
        <v>238</v>
      </c>
      <c r="D199" s="8" t="s">
        <v>99</v>
      </c>
      <c r="E199" s="8" t="s">
        <v>131</v>
      </c>
      <c r="F199" s="8" t="s">
        <v>218</v>
      </c>
      <c r="G199" s="8" t="s">
        <v>128</v>
      </c>
      <c r="H199" s="8" t="s">
        <v>218</v>
      </c>
      <c r="I199" s="38" t="n">
        <v>52.22</v>
      </c>
      <c r="J199" s="8" t="s">
        <v>493</v>
      </c>
      <c r="K199" s="81" t="n">
        <f aca="false">(INDEX(08_Annahmen!$D$22:$D$29,MATCH($H199,08_Annahmen!$B$22:$B$29,0))/MAX($I199,15))^INDEX(08_Annahmen!$E$22:$E$29,MATCH($H199,08_Annahmen!$B$22:$B$29,0))</f>
        <v>1.22312423417</v>
      </c>
      <c r="L199" s="82" t="n">
        <f aca="false">INDEX(08_Annahmen!$C$22:$C$29,MATCH($H199,08_Annahmen!$B$22:$B$29,0))*$K199*(1+INDEX(08_Annahmen!$F$22:$F$29,MATCH($H199,08_Annahmen!$B$22:$B$29,0)))*(1+08_Annahmen!$C$9)*(1+08_Annahmen!$C$14)*IF($J199="ja",08_Annahmen!$C$12,1)</f>
        <v>539.860128229486</v>
      </c>
      <c r="M199" s="28" t="n">
        <f aca="false">$L199*$I199</f>
        <v>28191.4958961437</v>
      </c>
      <c r="N199" s="28" t="n">
        <f aca="false">$M199/12</f>
        <v>2349.29132467865</v>
      </c>
    </row>
    <row r="200" customFormat="false" ht="15" hidden="false" customHeight="false" outlineLevel="0" collapsed="false">
      <c r="B200" s="8" t="n">
        <v>194</v>
      </c>
      <c r="C200" s="8" t="s">
        <v>238</v>
      </c>
      <c r="D200" s="8" t="s">
        <v>99</v>
      </c>
      <c r="E200" s="8" t="s">
        <v>131</v>
      </c>
      <c r="F200" s="8" t="s">
        <v>218</v>
      </c>
      <c r="G200" s="8" t="s">
        <v>128</v>
      </c>
      <c r="H200" s="8" t="s">
        <v>218</v>
      </c>
      <c r="I200" s="38" t="n">
        <v>52.22</v>
      </c>
      <c r="J200" s="8" t="s">
        <v>493</v>
      </c>
      <c r="K200" s="81" t="n">
        <f aca="false">(INDEX(08_Annahmen!$D$22:$D$29,MATCH($H200,08_Annahmen!$B$22:$B$29,0))/MAX($I200,15))^INDEX(08_Annahmen!$E$22:$E$29,MATCH($H200,08_Annahmen!$B$22:$B$29,0))</f>
        <v>1.22312423417</v>
      </c>
      <c r="L200" s="82" t="n">
        <f aca="false">INDEX(08_Annahmen!$C$22:$C$29,MATCH($H200,08_Annahmen!$B$22:$B$29,0))*$K200*(1+INDEX(08_Annahmen!$F$22:$F$29,MATCH($H200,08_Annahmen!$B$22:$B$29,0)))*(1+08_Annahmen!$C$9)*(1+08_Annahmen!$C$14)*IF($J200="ja",08_Annahmen!$C$12,1)</f>
        <v>539.860128229486</v>
      </c>
      <c r="M200" s="28" t="n">
        <f aca="false">$L200*$I200</f>
        <v>28191.4958961437</v>
      </c>
      <c r="N200" s="28" t="n">
        <f aca="false">$M200/12</f>
        <v>2349.29132467865</v>
      </c>
    </row>
    <row r="201" customFormat="false" ht="15" hidden="false" customHeight="false" outlineLevel="0" collapsed="false">
      <c r="B201" s="8" t="n">
        <v>195</v>
      </c>
      <c r="C201" s="8" t="s">
        <v>238</v>
      </c>
      <c r="D201" s="8" t="s">
        <v>99</v>
      </c>
      <c r="E201" s="8" t="s">
        <v>131</v>
      </c>
      <c r="F201" s="8" t="s">
        <v>218</v>
      </c>
      <c r="G201" s="8" t="s">
        <v>128</v>
      </c>
      <c r="H201" s="8" t="s">
        <v>218</v>
      </c>
      <c r="I201" s="38" t="n">
        <v>52.22</v>
      </c>
      <c r="J201" s="8" t="s">
        <v>493</v>
      </c>
      <c r="K201" s="81" t="n">
        <f aca="false">(INDEX(08_Annahmen!$D$22:$D$29,MATCH($H201,08_Annahmen!$B$22:$B$29,0))/MAX($I201,15))^INDEX(08_Annahmen!$E$22:$E$29,MATCH($H201,08_Annahmen!$B$22:$B$29,0))</f>
        <v>1.22312423417</v>
      </c>
      <c r="L201" s="82" t="n">
        <f aca="false">INDEX(08_Annahmen!$C$22:$C$29,MATCH($H201,08_Annahmen!$B$22:$B$29,0))*$K201*(1+INDEX(08_Annahmen!$F$22:$F$29,MATCH($H201,08_Annahmen!$B$22:$B$29,0)))*(1+08_Annahmen!$C$9)*(1+08_Annahmen!$C$14)*IF($J201="ja",08_Annahmen!$C$12,1)</f>
        <v>539.860128229486</v>
      </c>
      <c r="M201" s="28" t="n">
        <f aca="false">$L201*$I201</f>
        <v>28191.4958961437</v>
      </c>
      <c r="N201" s="28" t="n">
        <f aca="false">$M201/12</f>
        <v>2349.29132467865</v>
      </c>
    </row>
    <row r="202" customFormat="false" ht="15" hidden="false" customHeight="false" outlineLevel="0" collapsed="false">
      <c r="B202" s="8" t="n">
        <v>196</v>
      </c>
      <c r="C202" s="8" t="s">
        <v>238</v>
      </c>
      <c r="D202" s="8" t="s">
        <v>99</v>
      </c>
      <c r="E202" s="8" t="s">
        <v>131</v>
      </c>
      <c r="F202" s="8" t="s">
        <v>218</v>
      </c>
      <c r="G202" s="8" t="s">
        <v>128</v>
      </c>
      <c r="H202" s="8" t="s">
        <v>218</v>
      </c>
      <c r="I202" s="38" t="n">
        <v>52.22</v>
      </c>
      <c r="J202" s="8" t="s">
        <v>493</v>
      </c>
      <c r="K202" s="81" t="n">
        <f aca="false">(INDEX(08_Annahmen!$D$22:$D$29,MATCH($H202,08_Annahmen!$B$22:$B$29,0))/MAX($I202,15))^INDEX(08_Annahmen!$E$22:$E$29,MATCH($H202,08_Annahmen!$B$22:$B$29,0))</f>
        <v>1.22312423417</v>
      </c>
      <c r="L202" s="82" t="n">
        <f aca="false">INDEX(08_Annahmen!$C$22:$C$29,MATCH($H202,08_Annahmen!$B$22:$B$29,0))*$K202*(1+INDEX(08_Annahmen!$F$22:$F$29,MATCH($H202,08_Annahmen!$B$22:$B$29,0)))*(1+08_Annahmen!$C$9)*(1+08_Annahmen!$C$14)*IF($J202="ja",08_Annahmen!$C$12,1)</f>
        <v>539.860128229486</v>
      </c>
      <c r="M202" s="28" t="n">
        <f aca="false">$L202*$I202</f>
        <v>28191.4958961437</v>
      </c>
      <c r="N202" s="28" t="n">
        <f aca="false">$M202/12</f>
        <v>2349.29132467865</v>
      </c>
    </row>
    <row r="203" customFormat="false" ht="15" hidden="false" customHeight="false" outlineLevel="0" collapsed="false">
      <c r="B203" s="8" t="n">
        <v>197</v>
      </c>
      <c r="C203" s="8" t="s">
        <v>240</v>
      </c>
      <c r="D203" s="8" t="s">
        <v>96</v>
      </c>
      <c r="E203" s="8" t="s">
        <v>124</v>
      </c>
      <c r="F203" s="8" t="s">
        <v>106</v>
      </c>
      <c r="G203" s="8" t="s">
        <v>150</v>
      </c>
      <c r="H203" s="8" t="s">
        <v>106</v>
      </c>
      <c r="I203" s="38" t="n">
        <v>179.5</v>
      </c>
      <c r="J203" s="8" t="s">
        <v>493</v>
      </c>
      <c r="K203" s="81" t="n">
        <f aca="false">(INDEX(08_Annahmen!$D$22:$D$29,MATCH($H203,08_Annahmen!$B$22:$B$29,0))/MAX($I203,15))^INDEX(08_Annahmen!$E$22:$E$29,MATCH($H203,08_Annahmen!$B$22:$B$29,0))</f>
        <v>0.834142058828851</v>
      </c>
      <c r="L203" s="82" t="n">
        <f aca="false">INDEX(08_Annahmen!$C$22:$C$29,MATCH($H203,08_Annahmen!$B$22:$B$29,0))*$K203*(1+INDEX(08_Annahmen!$F$22:$F$29,MATCH($H203,08_Annahmen!$B$22:$B$29,0)))*(1+08_Annahmen!$C$9)*(1+08_Annahmen!$C$14)*IF($J203="ja",08_Annahmen!$C$12,1)</f>
        <v>296.91286584013</v>
      </c>
      <c r="M203" s="28" t="n">
        <f aca="false">$L203*$I203</f>
        <v>53295.8594183033</v>
      </c>
      <c r="N203" s="28" t="n">
        <f aca="false">$M203/12</f>
        <v>4441.32161819194</v>
      </c>
    </row>
    <row r="204" customFormat="false" ht="15" hidden="false" customHeight="false" outlineLevel="0" collapsed="false">
      <c r="B204" s="8" t="n">
        <v>198</v>
      </c>
      <c r="C204" s="8" t="s">
        <v>240</v>
      </c>
      <c r="D204" s="8" t="s">
        <v>96</v>
      </c>
      <c r="E204" s="8" t="s">
        <v>124</v>
      </c>
      <c r="F204" s="8" t="s">
        <v>106</v>
      </c>
      <c r="G204" s="8" t="s">
        <v>150</v>
      </c>
      <c r="H204" s="8" t="s">
        <v>106</v>
      </c>
      <c r="I204" s="38" t="n">
        <v>179.5</v>
      </c>
      <c r="J204" s="8" t="s">
        <v>493</v>
      </c>
      <c r="K204" s="81" t="n">
        <f aca="false">(INDEX(08_Annahmen!$D$22:$D$29,MATCH($H204,08_Annahmen!$B$22:$B$29,0))/MAX($I204,15))^INDEX(08_Annahmen!$E$22:$E$29,MATCH($H204,08_Annahmen!$B$22:$B$29,0))</f>
        <v>0.834142058828851</v>
      </c>
      <c r="L204" s="82" t="n">
        <f aca="false">INDEX(08_Annahmen!$C$22:$C$29,MATCH($H204,08_Annahmen!$B$22:$B$29,0))*$K204*(1+INDEX(08_Annahmen!$F$22:$F$29,MATCH($H204,08_Annahmen!$B$22:$B$29,0)))*(1+08_Annahmen!$C$9)*(1+08_Annahmen!$C$14)*IF($J204="ja",08_Annahmen!$C$12,1)</f>
        <v>296.91286584013</v>
      </c>
      <c r="M204" s="28" t="n">
        <f aca="false">$L204*$I204</f>
        <v>53295.8594183033</v>
      </c>
      <c r="N204" s="28" t="n">
        <f aca="false">$M204/12</f>
        <v>4441.32161819194</v>
      </c>
    </row>
    <row r="205" customFormat="false" ht="15" hidden="false" customHeight="false" outlineLevel="0" collapsed="false">
      <c r="B205" s="8" t="n">
        <v>199</v>
      </c>
      <c r="C205" s="8" t="s">
        <v>240</v>
      </c>
      <c r="D205" s="8" t="s">
        <v>96</v>
      </c>
      <c r="E205" s="8" t="s">
        <v>124</v>
      </c>
      <c r="F205" s="8" t="s">
        <v>106</v>
      </c>
      <c r="G205" s="8" t="s">
        <v>150</v>
      </c>
      <c r="H205" s="8" t="s">
        <v>106</v>
      </c>
      <c r="I205" s="38" t="n">
        <v>179.5</v>
      </c>
      <c r="J205" s="8" t="s">
        <v>493</v>
      </c>
      <c r="K205" s="81" t="n">
        <f aca="false">(INDEX(08_Annahmen!$D$22:$D$29,MATCH($H205,08_Annahmen!$B$22:$B$29,0))/MAX($I205,15))^INDEX(08_Annahmen!$E$22:$E$29,MATCH($H205,08_Annahmen!$B$22:$B$29,0))</f>
        <v>0.834142058828851</v>
      </c>
      <c r="L205" s="82" t="n">
        <f aca="false">INDEX(08_Annahmen!$C$22:$C$29,MATCH($H205,08_Annahmen!$B$22:$B$29,0))*$K205*(1+INDEX(08_Annahmen!$F$22:$F$29,MATCH($H205,08_Annahmen!$B$22:$B$29,0)))*(1+08_Annahmen!$C$9)*(1+08_Annahmen!$C$14)*IF($J205="ja",08_Annahmen!$C$12,1)</f>
        <v>296.91286584013</v>
      </c>
      <c r="M205" s="28" t="n">
        <f aca="false">$L205*$I205</f>
        <v>53295.8594183033</v>
      </c>
      <c r="N205" s="28" t="n">
        <f aca="false">$M205/12</f>
        <v>4441.32161819194</v>
      </c>
    </row>
    <row r="206" customFormat="false" ht="15" hidden="false" customHeight="false" outlineLevel="0" collapsed="false">
      <c r="B206" s="8" t="n">
        <v>200</v>
      </c>
      <c r="C206" s="8" t="s">
        <v>240</v>
      </c>
      <c r="D206" s="8" t="s">
        <v>96</v>
      </c>
      <c r="E206" s="8" t="s">
        <v>124</v>
      </c>
      <c r="F206" s="8" t="s">
        <v>106</v>
      </c>
      <c r="G206" s="8" t="s">
        <v>150</v>
      </c>
      <c r="H206" s="8" t="s">
        <v>106</v>
      </c>
      <c r="I206" s="38" t="n">
        <v>179.5</v>
      </c>
      <c r="J206" s="8" t="s">
        <v>493</v>
      </c>
      <c r="K206" s="81" t="n">
        <f aca="false">(INDEX(08_Annahmen!$D$22:$D$29,MATCH($H206,08_Annahmen!$B$22:$B$29,0))/MAX($I206,15))^INDEX(08_Annahmen!$E$22:$E$29,MATCH($H206,08_Annahmen!$B$22:$B$29,0))</f>
        <v>0.834142058828851</v>
      </c>
      <c r="L206" s="82" t="n">
        <f aca="false">INDEX(08_Annahmen!$C$22:$C$29,MATCH($H206,08_Annahmen!$B$22:$B$29,0))*$K206*(1+INDEX(08_Annahmen!$F$22:$F$29,MATCH($H206,08_Annahmen!$B$22:$B$29,0)))*(1+08_Annahmen!$C$9)*(1+08_Annahmen!$C$14)*IF($J206="ja",08_Annahmen!$C$12,1)</f>
        <v>296.91286584013</v>
      </c>
      <c r="M206" s="28" t="n">
        <f aca="false">$L206*$I206</f>
        <v>53295.8594183033</v>
      </c>
      <c r="N206" s="28" t="n">
        <f aca="false">$M206/12</f>
        <v>4441.32161819194</v>
      </c>
    </row>
    <row r="207" customFormat="false" ht="15" hidden="false" customHeight="false" outlineLevel="0" collapsed="false">
      <c r="B207" s="8" t="n">
        <v>201</v>
      </c>
      <c r="C207" s="8" t="s">
        <v>240</v>
      </c>
      <c r="D207" s="8" t="s">
        <v>96</v>
      </c>
      <c r="E207" s="8" t="s">
        <v>124</v>
      </c>
      <c r="F207" s="8" t="s">
        <v>106</v>
      </c>
      <c r="G207" s="8" t="s">
        <v>150</v>
      </c>
      <c r="H207" s="8" t="s">
        <v>106</v>
      </c>
      <c r="I207" s="38" t="n">
        <v>179.5</v>
      </c>
      <c r="J207" s="8" t="s">
        <v>493</v>
      </c>
      <c r="K207" s="81" t="n">
        <f aca="false">(INDEX(08_Annahmen!$D$22:$D$29,MATCH($H207,08_Annahmen!$B$22:$B$29,0))/MAX($I207,15))^INDEX(08_Annahmen!$E$22:$E$29,MATCH($H207,08_Annahmen!$B$22:$B$29,0))</f>
        <v>0.834142058828851</v>
      </c>
      <c r="L207" s="82" t="n">
        <f aca="false">INDEX(08_Annahmen!$C$22:$C$29,MATCH($H207,08_Annahmen!$B$22:$B$29,0))*$K207*(1+INDEX(08_Annahmen!$F$22:$F$29,MATCH($H207,08_Annahmen!$B$22:$B$29,0)))*(1+08_Annahmen!$C$9)*(1+08_Annahmen!$C$14)*IF($J207="ja",08_Annahmen!$C$12,1)</f>
        <v>296.91286584013</v>
      </c>
      <c r="M207" s="28" t="n">
        <f aca="false">$L207*$I207</f>
        <v>53295.8594183033</v>
      </c>
      <c r="N207" s="28" t="n">
        <f aca="false">$M207/12</f>
        <v>4441.32161819194</v>
      </c>
    </row>
    <row r="208" customFormat="false" ht="15" hidden="false" customHeight="false" outlineLevel="0" collapsed="false">
      <c r="B208" s="8" t="n">
        <v>202</v>
      </c>
      <c r="C208" s="8" t="s">
        <v>240</v>
      </c>
      <c r="D208" s="8" t="s">
        <v>96</v>
      </c>
      <c r="E208" s="8" t="s">
        <v>124</v>
      </c>
      <c r="F208" s="8" t="s">
        <v>106</v>
      </c>
      <c r="G208" s="8" t="s">
        <v>150</v>
      </c>
      <c r="H208" s="8" t="s">
        <v>106</v>
      </c>
      <c r="I208" s="38" t="n">
        <v>179.5</v>
      </c>
      <c r="J208" s="8" t="s">
        <v>493</v>
      </c>
      <c r="K208" s="81" t="n">
        <f aca="false">(INDEX(08_Annahmen!$D$22:$D$29,MATCH($H208,08_Annahmen!$B$22:$B$29,0))/MAX($I208,15))^INDEX(08_Annahmen!$E$22:$E$29,MATCH($H208,08_Annahmen!$B$22:$B$29,0))</f>
        <v>0.834142058828851</v>
      </c>
      <c r="L208" s="82" t="n">
        <f aca="false">INDEX(08_Annahmen!$C$22:$C$29,MATCH($H208,08_Annahmen!$B$22:$B$29,0))*$K208*(1+INDEX(08_Annahmen!$F$22:$F$29,MATCH($H208,08_Annahmen!$B$22:$B$29,0)))*(1+08_Annahmen!$C$9)*(1+08_Annahmen!$C$14)*IF($J208="ja",08_Annahmen!$C$12,1)</f>
        <v>296.91286584013</v>
      </c>
      <c r="M208" s="28" t="n">
        <f aca="false">$L208*$I208</f>
        <v>53295.8594183033</v>
      </c>
      <c r="N208" s="28" t="n">
        <f aca="false">$M208/12</f>
        <v>4441.32161819194</v>
      </c>
    </row>
    <row r="209" customFormat="false" ht="15" hidden="false" customHeight="false" outlineLevel="0" collapsed="false">
      <c r="B209" s="8" t="n">
        <v>203</v>
      </c>
      <c r="C209" s="8" t="s">
        <v>240</v>
      </c>
      <c r="D209" s="8" t="s">
        <v>96</v>
      </c>
      <c r="E209" s="8" t="s">
        <v>124</v>
      </c>
      <c r="F209" s="8" t="s">
        <v>106</v>
      </c>
      <c r="G209" s="8" t="s">
        <v>146</v>
      </c>
      <c r="H209" s="8" t="s">
        <v>106</v>
      </c>
      <c r="I209" s="38" t="n">
        <v>148.8</v>
      </c>
      <c r="J209" s="8" t="s">
        <v>493</v>
      </c>
      <c r="K209" s="81" t="n">
        <f aca="false">(INDEX(08_Annahmen!$D$22:$D$29,MATCH($H209,08_Annahmen!$B$22:$B$29,0))/MAX($I209,15))^INDEX(08_Annahmen!$E$22:$E$29,MATCH($H209,08_Annahmen!$B$22:$B$29,0))</f>
        <v>0.884083105260627</v>
      </c>
      <c r="L209" s="82" t="n">
        <f aca="false">INDEX(08_Annahmen!$C$22:$C$29,MATCH($H209,08_Annahmen!$B$22:$B$29,0))*$K209*(1+INDEX(08_Annahmen!$F$22:$F$29,MATCH($H209,08_Annahmen!$B$22:$B$29,0)))*(1+08_Annahmen!$C$9)*(1+08_Annahmen!$C$14)*IF($J209="ja",08_Annahmen!$C$12,1)</f>
        <v>314.68938131752</v>
      </c>
      <c r="M209" s="28" t="n">
        <f aca="false">$L209*$I209</f>
        <v>46825.779940047</v>
      </c>
      <c r="N209" s="28" t="n">
        <f aca="false">$M209/12</f>
        <v>3902.14832833725</v>
      </c>
    </row>
    <row r="210" customFormat="false" ht="15" hidden="false" customHeight="false" outlineLevel="0" collapsed="false">
      <c r="B210" s="8" t="n">
        <v>204</v>
      </c>
      <c r="C210" s="8" t="s">
        <v>240</v>
      </c>
      <c r="D210" s="8" t="s">
        <v>96</v>
      </c>
      <c r="E210" s="8" t="s">
        <v>124</v>
      </c>
      <c r="F210" s="8" t="s">
        <v>106</v>
      </c>
      <c r="G210" s="8" t="s">
        <v>146</v>
      </c>
      <c r="H210" s="8" t="s">
        <v>106</v>
      </c>
      <c r="I210" s="38" t="n">
        <v>148.8</v>
      </c>
      <c r="J210" s="8" t="s">
        <v>493</v>
      </c>
      <c r="K210" s="81" t="n">
        <f aca="false">(INDEX(08_Annahmen!$D$22:$D$29,MATCH($H210,08_Annahmen!$B$22:$B$29,0))/MAX($I210,15))^INDEX(08_Annahmen!$E$22:$E$29,MATCH($H210,08_Annahmen!$B$22:$B$29,0))</f>
        <v>0.884083105260627</v>
      </c>
      <c r="L210" s="82" t="n">
        <f aca="false">INDEX(08_Annahmen!$C$22:$C$29,MATCH($H210,08_Annahmen!$B$22:$B$29,0))*$K210*(1+INDEX(08_Annahmen!$F$22:$F$29,MATCH($H210,08_Annahmen!$B$22:$B$29,0)))*(1+08_Annahmen!$C$9)*(1+08_Annahmen!$C$14)*IF($J210="ja",08_Annahmen!$C$12,1)</f>
        <v>314.68938131752</v>
      </c>
      <c r="M210" s="28" t="n">
        <f aca="false">$L210*$I210</f>
        <v>46825.779940047</v>
      </c>
      <c r="N210" s="28" t="n">
        <f aca="false">$M210/12</f>
        <v>3902.14832833725</v>
      </c>
    </row>
    <row r="211" customFormat="false" ht="15" hidden="false" customHeight="false" outlineLevel="0" collapsed="false">
      <c r="B211" s="8" t="n">
        <v>205</v>
      </c>
      <c r="C211" s="8" t="s">
        <v>240</v>
      </c>
      <c r="D211" s="8" t="s">
        <v>96</v>
      </c>
      <c r="E211" s="8" t="s">
        <v>124</v>
      </c>
      <c r="F211" s="8" t="s">
        <v>106</v>
      </c>
      <c r="G211" s="8" t="s">
        <v>146</v>
      </c>
      <c r="H211" s="8" t="s">
        <v>106</v>
      </c>
      <c r="I211" s="38" t="n">
        <v>148.8</v>
      </c>
      <c r="J211" s="8" t="s">
        <v>493</v>
      </c>
      <c r="K211" s="81" t="n">
        <f aca="false">(INDEX(08_Annahmen!$D$22:$D$29,MATCH($H211,08_Annahmen!$B$22:$B$29,0))/MAX($I211,15))^INDEX(08_Annahmen!$E$22:$E$29,MATCH($H211,08_Annahmen!$B$22:$B$29,0))</f>
        <v>0.884083105260627</v>
      </c>
      <c r="L211" s="82" t="n">
        <f aca="false">INDEX(08_Annahmen!$C$22:$C$29,MATCH($H211,08_Annahmen!$B$22:$B$29,0))*$K211*(1+INDEX(08_Annahmen!$F$22:$F$29,MATCH($H211,08_Annahmen!$B$22:$B$29,0)))*(1+08_Annahmen!$C$9)*(1+08_Annahmen!$C$14)*IF($J211="ja",08_Annahmen!$C$12,1)</f>
        <v>314.68938131752</v>
      </c>
      <c r="M211" s="28" t="n">
        <f aca="false">$L211*$I211</f>
        <v>46825.779940047</v>
      </c>
      <c r="N211" s="28" t="n">
        <f aca="false">$M211/12</f>
        <v>3902.14832833725</v>
      </c>
    </row>
    <row r="212" customFormat="false" ht="15" hidden="false" customHeight="false" outlineLevel="0" collapsed="false">
      <c r="B212" s="8" t="n">
        <v>206</v>
      </c>
      <c r="C212" s="8" t="s">
        <v>240</v>
      </c>
      <c r="D212" s="8" t="s">
        <v>96</v>
      </c>
      <c r="E212" s="8" t="s">
        <v>124</v>
      </c>
      <c r="F212" s="8" t="s">
        <v>106</v>
      </c>
      <c r="G212" s="8" t="s">
        <v>146</v>
      </c>
      <c r="H212" s="8" t="s">
        <v>106</v>
      </c>
      <c r="I212" s="38" t="n">
        <v>148.8</v>
      </c>
      <c r="J212" s="8" t="s">
        <v>493</v>
      </c>
      <c r="K212" s="81" t="n">
        <f aca="false">(INDEX(08_Annahmen!$D$22:$D$29,MATCH($H212,08_Annahmen!$B$22:$B$29,0))/MAX($I212,15))^INDEX(08_Annahmen!$E$22:$E$29,MATCH($H212,08_Annahmen!$B$22:$B$29,0))</f>
        <v>0.884083105260627</v>
      </c>
      <c r="L212" s="82" t="n">
        <f aca="false">INDEX(08_Annahmen!$C$22:$C$29,MATCH($H212,08_Annahmen!$B$22:$B$29,0))*$K212*(1+INDEX(08_Annahmen!$F$22:$F$29,MATCH($H212,08_Annahmen!$B$22:$B$29,0)))*(1+08_Annahmen!$C$9)*(1+08_Annahmen!$C$14)*IF($J212="ja",08_Annahmen!$C$12,1)</f>
        <v>314.68938131752</v>
      </c>
      <c r="M212" s="28" t="n">
        <f aca="false">$L212*$I212</f>
        <v>46825.779940047</v>
      </c>
      <c r="N212" s="28" t="n">
        <f aca="false">$M212/12</f>
        <v>3902.14832833725</v>
      </c>
    </row>
    <row r="213" customFormat="false" ht="15" hidden="false" customHeight="false" outlineLevel="0" collapsed="false">
      <c r="B213" s="8" t="n">
        <v>207</v>
      </c>
      <c r="C213" s="8" t="s">
        <v>240</v>
      </c>
      <c r="D213" s="8" t="s">
        <v>96</v>
      </c>
      <c r="E213" s="8" t="s">
        <v>124</v>
      </c>
      <c r="F213" s="8" t="s">
        <v>106</v>
      </c>
      <c r="G213" s="8" t="s">
        <v>146</v>
      </c>
      <c r="H213" s="8" t="s">
        <v>106</v>
      </c>
      <c r="I213" s="38" t="n">
        <v>148.8</v>
      </c>
      <c r="J213" s="8" t="s">
        <v>493</v>
      </c>
      <c r="K213" s="81" t="n">
        <f aca="false">(INDEX(08_Annahmen!$D$22:$D$29,MATCH($H213,08_Annahmen!$B$22:$B$29,0))/MAX($I213,15))^INDEX(08_Annahmen!$E$22:$E$29,MATCH($H213,08_Annahmen!$B$22:$B$29,0))</f>
        <v>0.884083105260627</v>
      </c>
      <c r="L213" s="82" t="n">
        <f aca="false">INDEX(08_Annahmen!$C$22:$C$29,MATCH($H213,08_Annahmen!$B$22:$B$29,0))*$K213*(1+INDEX(08_Annahmen!$F$22:$F$29,MATCH($H213,08_Annahmen!$B$22:$B$29,0)))*(1+08_Annahmen!$C$9)*(1+08_Annahmen!$C$14)*IF($J213="ja",08_Annahmen!$C$12,1)</f>
        <v>314.68938131752</v>
      </c>
      <c r="M213" s="28" t="n">
        <f aca="false">$L213*$I213</f>
        <v>46825.779940047</v>
      </c>
      <c r="N213" s="28" t="n">
        <f aca="false">$M213/12</f>
        <v>3902.14832833725</v>
      </c>
    </row>
    <row r="214" customFormat="false" ht="15" hidden="false" customHeight="false" outlineLevel="0" collapsed="false">
      <c r="B214" s="8" t="n">
        <v>208</v>
      </c>
      <c r="C214" s="8" t="s">
        <v>240</v>
      </c>
      <c r="D214" s="8" t="s">
        <v>96</v>
      </c>
      <c r="E214" s="8" t="s">
        <v>124</v>
      </c>
      <c r="F214" s="8" t="s">
        <v>106</v>
      </c>
      <c r="G214" s="8" t="s">
        <v>146</v>
      </c>
      <c r="H214" s="8" t="s">
        <v>106</v>
      </c>
      <c r="I214" s="38" t="n">
        <v>148.8</v>
      </c>
      <c r="J214" s="8" t="s">
        <v>493</v>
      </c>
      <c r="K214" s="81" t="n">
        <f aca="false">(INDEX(08_Annahmen!$D$22:$D$29,MATCH($H214,08_Annahmen!$B$22:$B$29,0))/MAX($I214,15))^INDEX(08_Annahmen!$E$22:$E$29,MATCH($H214,08_Annahmen!$B$22:$B$29,0))</f>
        <v>0.884083105260627</v>
      </c>
      <c r="L214" s="82" t="n">
        <f aca="false">INDEX(08_Annahmen!$C$22:$C$29,MATCH($H214,08_Annahmen!$B$22:$B$29,0))*$K214*(1+INDEX(08_Annahmen!$F$22:$F$29,MATCH($H214,08_Annahmen!$B$22:$B$29,0)))*(1+08_Annahmen!$C$9)*(1+08_Annahmen!$C$14)*IF($J214="ja",08_Annahmen!$C$12,1)</f>
        <v>314.68938131752</v>
      </c>
      <c r="M214" s="28" t="n">
        <f aca="false">$L214*$I214</f>
        <v>46825.779940047</v>
      </c>
      <c r="N214" s="28" t="n">
        <f aca="false">$M214/12</f>
        <v>3902.14832833725</v>
      </c>
    </row>
    <row r="215" customFormat="false" ht="15" hidden="false" customHeight="false" outlineLevel="0" collapsed="false">
      <c r="B215" s="8" t="n">
        <v>209</v>
      </c>
      <c r="C215" s="8" t="s">
        <v>240</v>
      </c>
      <c r="D215" s="8" t="s">
        <v>96</v>
      </c>
      <c r="E215" s="8" t="s">
        <v>139</v>
      </c>
      <c r="F215" s="8" t="s">
        <v>106</v>
      </c>
      <c r="G215" s="8" t="s">
        <v>150</v>
      </c>
      <c r="H215" s="8" t="s">
        <v>106</v>
      </c>
      <c r="I215" s="38" t="n">
        <v>179.5</v>
      </c>
      <c r="J215" s="8" t="s">
        <v>493</v>
      </c>
      <c r="K215" s="81" t="n">
        <f aca="false">(INDEX(08_Annahmen!$D$22:$D$29,MATCH($H215,08_Annahmen!$B$22:$B$29,0))/MAX($I215,15))^INDEX(08_Annahmen!$E$22:$E$29,MATCH($H215,08_Annahmen!$B$22:$B$29,0))</f>
        <v>0.834142058828851</v>
      </c>
      <c r="L215" s="82" t="n">
        <f aca="false">INDEX(08_Annahmen!$C$22:$C$29,MATCH($H215,08_Annahmen!$B$22:$B$29,0))*$K215*(1+INDEX(08_Annahmen!$F$22:$F$29,MATCH($H215,08_Annahmen!$B$22:$B$29,0)))*(1+08_Annahmen!$C$9)*(1+08_Annahmen!$C$14)*IF($J215="ja",08_Annahmen!$C$12,1)</f>
        <v>296.91286584013</v>
      </c>
      <c r="M215" s="28" t="n">
        <f aca="false">$L215*$I215</f>
        <v>53295.8594183033</v>
      </c>
      <c r="N215" s="28" t="n">
        <f aca="false">$M215/12</f>
        <v>4441.32161819194</v>
      </c>
    </row>
    <row r="216" customFormat="false" ht="15" hidden="false" customHeight="false" outlineLevel="0" collapsed="false">
      <c r="B216" s="8" t="n">
        <v>210</v>
      </c>
      <c r="C216" s="8" t="s">
        <v>240</v>
      </c>
      <c r="D216" s="8" t="s">
        <v>96</v>
      </c>
      <c r="E216" s="8" t="s">
        <v>139</v>
      </c>
      <c r="F216" s="8" t="s">
        <v>106</v>
      </c>
      <c r="G216" s="8" t="s">
        <v>150</v>
      </c>
      <c r="H216" s="8" t="s">
        <v>106</v>
      </c>
      <c r="I216" s="38" t="n">
        <v>179.5</v>
      </c>
      <c r="J216" s="8" t="s">
        <v>493</v>
      </c>
      <c r="K216" s="81" t="n">
        <f aca="false">(INDEX(08_Annahmen!$D$22:$D$29,MATCH($H216,08_Annahmen!$B$22:$B$29,0))/MAX($I216,15))^INDEX(08_Annahmen!$E$22:$E$29,MATCH($H216,08_Annahmen!$B$22:$B$29,0))</f>
        <v>0.834142058828851</v>
      </c>
      <c r="L216" s="82" t="n">
        <f aca="false">INDEX(08_Annahmen!$C$22:$C$29,MATCH($H216,08_Annahmen!$B$22:$B$29,0))*$K216*(1+INDEX(08_Annahmen!$F$22:$F$29,MATCH($H216,08_Annahmen!$B$22:$B$29,0)))*(1+08_Annahmen!$C$9)*(1+08_Annahmen!$C$14)*IF($J216="ja",08_Annahmen!$C$12,1)</f>
        <v>296.91286584013</v>
      </c>
      <c r="M216" s="28" t="n">
        <f aca="false">$L216*$I216</f>
        <v>53295.8594183033</v>
      </c>
      <c r="N216" s="28" t="n">
        <f aca="false">$M216/12</f>
        <v>4441.32161819194</v>
      </c>
    </row>
    <row r="217" customFormat="false" ht="15" hidden="false" customHeight="false" outlineLevel="0" collapsed="false">
      <c r="B217" s="8" t="n">
        <v>211</v>
      </c>
      <c r="C217" s="8" t="s">
        <v>240</v>
      </c>
      <c r="D217" s="8" t="s">
        <v>96</v>
      </c>
      <c r="E217" s="8" t="s">
        <v>139</v>
      </c>
      <c r="F217" s="8" t="s">
        <v>106</v>
      </c>
      <c r="G217" s="8" t="s">
        <v>150</v>
      </c>
      <c r="H217" s="8" t="s">
        <v>106</v>
      </c>
      <c r="I217" s="38" t="n">
        <v>179.5</v>
      </c>
      <c r="J217" s="8" t="s">
        <v>493</v>
      </c>
      <c r="K217" s="81" t="n">
        <f aca="false">(INDEX(08_Annahmen!$D$22:$D$29,MATCH($H217,08_Annahmen!$B$22:$B$29,0))/MAX($I217,15))^INDEX(08_Annahmen!$E$22:$E$29,MATCH($H217,08_Annahmen!$B$22:$B$29,0))</f>
        <v>0.834142058828851</v>
      </c>
      <c r="L217" s="82" t="n">
        <f aca="false">INDEX(08_Annahmen!$C$22:$C$29,MATCH($H217,08_Annahmen!$B$22:$B$29,0))*$K217*(1+INDEX(08_Annahmen!$F$22:$F$29,MATCH($H217,08_Annahmen!$B$22:$B$29,0)))*(1+08_Annahmen!$C$9)*(1+08_Annahmen!$C$14)*IF($J217="ja",08_Annahmen!$C$12,1)</f>
        <v>296.91286584013</v>
      </c>
      <c r="M217" s="28" t="n">
        <f aca="false">$L217*$I217</f>
        <v>53295.8594183033</v>
      </c>
      <c r="N217" s="28" t="n">
        <f aca="false">$M217/12</f>
        <v>4441.32161819194</v>
      </c>
    </row>
    <row r="218" customFormat="false" ht="15" hidden="false" customHeight="false" outlineLevel="0" collapsed="false">
      <c r="B218" s="8" t="n">
        <v>212</v>
      </c>
      <c r="C218" s="8" t="s">
        <v>240</v>
      </c>
      <c r="D218" s="8" t="s">
        <v>96</v>
      </c>
      <c r="E218" s="8" t="s">
        <v>139</v>
      </c>
      <c r="F218" s="8" t="s">
        <v>106</v>
      </c>
      <c r="G218" s="8" t="s">
        <v>150</v>
      </c>
      <c r="H218" s="8" t="s">
        <v>106</v>
      </c>
      <c r="I218" s="38" t="n">
        <v>179.5</v>
      </c>
      <c r="J218" s="8" t="s">
        <v>493</v>
      </c>
      <c r="K218" s="81" t="n">
        <f aca="false">(INDEX(08_Annahmen!$D$22:$D$29,MATCH($H218,08_Annahmen!$B$22:$B$29,0))/MAX($I218,15))^INDEX(08_Annahmen!$E$22:$E$29,MATCH($H218,08_Annahmen!$B$22:$B$29,0))</f>
        <v>0.834142058828851</v>
      </c>
      <c r="L218" s="82" t="n">
        <f aca="false">INDEX(08_Annahmen!$C$22:$C$29,MATCH($H218,08_Annahmen!$B$22:$B$29,0))*$K218*(1+INDEX(08_Annahmen!$F$22:$F$29,MATCH($H218,08_Annahmen!$B$22:$B$29,0)))*(1+08_Annahmen!$C$9)*(1+08_Annahmen!$C$14)*IF($J218="ja",08_Annahmen!$C$12,1)</f>
        <v>296.91286584013</v>
      </c>
      <c r="M218" s="28" t="n">
        <f aca="false">$L218*$I218</f>
        <v>53295.8594183033</v>
      </c>
      <c r="N218" s="28" t="n">
        <f aca="false">$M218/12</f>
        <v>4441.32161819194</v>
      </c>
    </row>
    <row r="219" customFormat="false" ht="15" hidden="false" customHeight="false" outlineLevel="0" collapsed="false">
      <c r="B219" s="8" t="n">
        <v>213</v>
      </c>
      <c r="C219" s="8" t="s">
        <v>240</v>
      </c>
      <c r="D219" s="8" t="s">
        <v>96</v>
      </c>
      <c r="E219" s="8" t="s">
        <v>139</v>
      </c>
      <c r="F219" s="8" t="s">
        <v>106</v>
      </c>
      <c r="G219" s="8" t="s">
        <v>150</v>
      </c>
      <c r="H219" s="8" t="s">
        <v>106</v>
      </c>
      <c r="I219" s="38" t="n">
        <v>179.5</v>
      </c>
      <c r="J219" s="8" t="s">
        <v>493</v>
      </c>
      <c r="K219" s="81" t="n">
        <f aca="false">(INDEX(08_Annahmen!$D$22:$D$29,MATCH($H219,08_Annahmen!$B$22:$B$29,0))/MAX($I219,15))^INDEX(08_Annahmen!$E$22:$E$29,MATCH($H219,08_Annahmen!$B$22:$B$29,0))</f>
        <v>0.834142058828851</v>
      </c>
      <c r="L219" s="82" t="n">
        <f aca="false">INDEX(08_Annahmen!$C$22:$C$29,MATCH($H219,08_Annahmen!$B$22:$B$29,0))*$K219*(1+INDEX(08_Annahmen!$F$22:$F$29,MATCH($H219,08_Annahmen!$B$22:$B$29,0)))*(1+08_Annahmen!$C$9)*(1+08_Annahmen!$C$14)*IF($J219="ja",08_Annahmen!$C$12,1)</f>
        <v>296.91286584013</v>
      </c>
      <c r="M219" s="28" t="n">
        <f aca="false">$L219*$I219</f>
        <v>53295.8594183033</v>
      </c>
      <c r="N219" s="28" t="n">
        <f aca="false">$M219/12</f>
        <v>4441.32161819194</v>
      </c>
    </row>
    <row r="220" customFormat="false" ht="15" hidden="false" customHeight="false" outlineLevel="0" collapsed="false">
      <c r="B220" s="8" t="n">
        <v>214</v>
      </c>
      <c r="C220" s="8" t="s">
        <v>240</v>
      </c>
      <c r="D220" s="8" t="s">
        <v>96</v>
      </c>
      <c r="E220" s="8" t="s">
        <v>139</v>
      </c>
      <c r="F220" s="8" t="s">
        <v>106</v>
      </c>
      <c r="G220" s="8" t="s">
        <v>150</v>
      </c>
      <c r="H220" s="8" t="s">
        <v>106</v>
      </c>
      <c r="I220" s="38" t="n">
        <v>179.5</v>
      </c>
      <c r="J220" s="8" t="s">
        <v>493</v>
      </c>
      <c r="K220" s="81" t="n">
        <f aca="false">(INDEX(08_Annahmen!$D$22:$D$29,MATCH($H220,08_Annahmen!$B$22:$B$29,0))/MAX($I220,15))^INDEX(08_Annahmen!$E$22:$E$29,MATCH($H220,08_Annahmen!$B$22:$B$29,0))</f>
        <v>0.834142058828851</v>
      </c>
      <c r="L220" s="82" t="n">
        <f aca="false">INDEX(08_Annahmen!$C$22:$C$29,MATCH($H220,08_Annahmen!$B$22:$B$29,0))*$K220*(1+INDEX(08_Annahmen!$F$22:$F$29,MATCH($H220,08_Annahmen!$B$22:$B$29,0)))*(1+08_Annahmen!$C$9)*(1+08_Annahmen!$C$14)*IF($J220="ja",08_Annahmen!$C$12,1)</f>
        <v>296.91286584013</v>
      </c>
      <c r="M220" s="28" t="n">
        <f aca="false">$L220*$I220</f>
        <v>53295.8594183033</v>
      </c>
      <c r="N220" s="28" t="n">
        <f aca="false">$M220/12</f>
        <v>4441.32161819194</v>
      </c>
    </row>
    <row r="221" customFormat="false" ht="15" hidden="false" customHeight="false" outlineLevel="0" collapsed="false">
      <c r="B221" s="8" t="n">
        <v>215</v>
      </c>
      <c r="C221" s="8" t="s">
        <v>240</v>
      </c>
      <c r="D221" s="8" t="s">
        <v>96</v>
      </c>
      <c r="E221" s="8" t="s">
        <v>139</v>
      </c>
      <c r="F221" s="8" t="s">
        <v>106</v>
      </c>
      <c r="G221" s="8" t="s">
        <v>146</v>
      </c>
      <c r="H221" s="8" t="s">
        <v>106</v>
      </c>
      <c r="I221" s="38" t="n">
        <v>148.8</v>
      </c>
      <c r="J221" s="8" t="s">
        <v>493</v>
      </c>
      <c r="K221" s="81" t="n">
        <f aca="false">(INDEX(08_Annahmen!$D$22:$D$29,MATCH($H221,08_Annahmen!$B$22:$B$29,0))/MAX($I221,15))^INDEX(08_Annahmen!$E$22:$E$29,MATCH($H221,08_Annahmen!$B$22:$B$29,0))</f>
        <v>0.884083105260627</v>
      </c>
      <c r="L221" s="82" t="n">
        <f aca="false">INDEX(08_Annahmen!$C$22:$C$29,MATCH($H221,08_Annahmen!$B$22:$B$29,0))*$K221*(1+INDEX(08_Annahmen!$F$22:$F$29,MATCH($H221,08_Annahmen!$B$22:$B$29,0)))*(1+08_Annahmen!$C$9)*(1+08_Annahmen!$C$14)*IF($J221="ja",08_Annahmen!$C$12,1)</f>
        <v>314.68938131752</v>
      </c>
      <c r="M221" s="28" t="n">
        <f aca="false">$L221*$I221</f>
        <v>46825.779940047</v>
      </c>
      <c r="N221" s="28" t="n">
        <f aca="false">$M221/12</f>
        <v>3902.14832833725</v>
      </c>
    </row>
    <row r="222" customFormat="false" ht="15" hidden="false" customHeight="false" outlineLevel="0" collapsed="false">
      <c r="B222" s="8" t="n">
        <v>216</v>
      </c>
      <c r="C222" s="8" t="s">
        <v>240</v>
      </c>
      <c r="D222" s="8" t="s">
        <v>96</v>
      </c>
      <c r="E222" s="8" t="s">
        <v>139</v>
      </c>
      <c r="F222" s="8" t="s">
        <v>106</v>
      </c>
      <c r="G222" s="8" t="s">
        <v>146</v>
      </c>
      <c r="H222" s="8" t="s">
        <v>106</v>
      </c>
      <c r="I222" s="38" t="n">
        <v>148.8</v>
      </c>
      <c r="J222" s="8" t="s">
        <v>493</v>
      </c>
      <c r="K222" s="81" t="n">
        <f aca="false">(INDEX(08_Annahmen!$D$22:$D$29,MATCH($H222,08_Annahmen!$B$22:$B$29,0))/MAX($I222,15))^INDEX(08_Annahmen!$E$22:$E$29,MATCH($H222,08_Annahmen!$B$22:$B$29,0))</f>
        <v>0.884083105260627</v>
      </c>
      <c r="L222" s="82" t="n">
        <f aca="false">INDEX(08_Annahmen!$C$22:$C$29,MATCH($H222,08_Annahmen!$B$22:$B$29,0))*$K222*(1+INDEX(08_Annahmen!$F$22:$F$29,MATCH($H222,08_Annahmen!$B$22:$B$29,0)))*(1+08_Annahmen!$C$9)*(1+08_Annahmen!$C$14)*IF($J222="ja",08_Annahmen!$C$12,1)</f>
        <v>314.68938131752</v>
      </c>
      <c r="M222" s="28" t="n">
        <f aca="false">$L222*$I222</f>
        <v>46825.779940047</v>
      </c>
      <c r="N222" s="28" t="n">
        <f aca="false">$M222/12</f>
        <v>3902.14832833725</v>
      </c>
    </row>
    <row r="223" customFormat="false" ht="15" hidden="false" customHeight="false" outlineLevel="0" collapsed="false">
      <c r="B223" s="8" t="n">
        <v>217</v>
      </c>
      <c r="C223" s="8" t="s">
        <v>240</v>
      </c>
      <c r="D223" s="8" t="s">
        <v>96</v>
      </c>
      <c r="E223" s="8" t="s">
        <v>139</v>
      </c>
      <c r="F223" s="8" t="s">
        <v>106</v>
      </c>
      <c r="G223" s="8" t="s">
        <v>146</v>
      </c>
      <c r="H223" s="8" t="s">
        <v>106</v>
      </c>
      <c r="I223" s="38" t="n">
        <v>148.8</v>
      </c>
      <c r="J223" s="8" t="s">
        <v>493</v>
      </c>
      <c r="K223" s="81" t="n">
        <f aca="false">(INDEX(08_Annahmen!$D$22:$D$29,MATCH($H223,08_Annahmen!$B$22:$B$29,0))/MAX($I223,15))^INDEX(08_Annahmen!$E$22:$E$29,MATCH($H223,08_Annahmen!$B$22:$B$29,0))</f>
        <v>0.884083105260627</v>
      </c>
      <c r="L223" s="82" t="n">
        <f aca="false">INDEX(08_Annahmen!$C$22:$C$29,MATCH($H223,08_Annahmen!$B$22:$B$29,0))*$K223*(1+INDEX(08_Annahmen!$F$22:$F$29,MATCH($H223,08_Annahmen!$B$22:$B$29,0)))*(1+08_Annahmen!$C$9)*(1+08_Annahmen!$C$14)*IF($J223="ja",08_Annahmen!$C$12,1)</f>
        <v>314.68938131752</v>
      </c>
      <c r="M223" s="28" t="n">
        <f aca="false">$L223*$I223</f>
        <v>46825.779940047</v>
      </c>
      <c r="N223" s="28" t="n">
        <f aca="false">$M223/12</f>
        <v>3902.14832833725</v>
      </c>
    </row>
    <row r="224" customFormat="false" ht="15" hidden="false" customHeight="false" outlineLevel="0" collapsed="false">
      <c r="B224" s="8" t="n">
        <v>218</v>
      </c>
      <c r="C224" s="8" t="s">
        <v>240</v>
      </c>
      <c r="D224" s="8" t="s">
        <v>96</v>
      </c>
      <c r="E224" s="8" t="s">
        <v>139</v>
      </c>
      <c r="F224" s="8" t="s">
        <v>106</v>
      </c>
      <c r="G224" s="8" t="s">
        <v>146</v>
      </c>
      <c r="H224" s="8" t="s">
        <v>106</v>
      </c>
      <c r="I224" s="38" t="n">
        <v>148.8</v>
      </c>
      <c r="J224" s="8" t="s">
        <v>493</v>
      </c>
      <c r="K224" s="81" t="n">
        <f aca="false">(INDEX(08_Annahmen!$D$22:$D$29,MATCH($H224,08_Annahmen!$B$22:$B$29,0))/MAX($I224,15))^INDEX(08_Annahmen!$E$22:$E$29,MATCH($H224,08_Annahmen!$B$22:$B$29,0))</f>
        <v>0.884083105260627</v>
      </c>
      <c r="L224" s="82" t="n">
        <f aca="false">INDEX(08_Annahmen!$C$22:$C$29,MATCH($H224,08_Annahmen!$B$22:$B$29,0))*$K224*(1+INDEX(08_Annahmen!$F$22:$F$29,MATCH($H224,08_Annahmen!$B$22:$B$29,0)))*(1+08_Annahmen!$C$9)*(1+08_Annahmen!$C$14)*IF($J224="ja",08_Annahmen!$C$12,1)</f>
        <v>314.68938131752</v>
      </c>
      <c r="M224" s="28" t="n">
        <f aca="false">$L224*$I224</f>
        <v>46825.779940047</v>
      </c>
      <c r="N224" s="28" t="n">
        <f aca="false">$M224/12</f>
        <v>3902.14832833725</v>
      </c>
    </row>
    <row r="225" customFormat="false" ht="15" hidden="false" customHeight="false" outlineLevel="0" collapsed="false">
      <c r="B225" s="8" t="n">
        <v>219</v>
      </c>
      <c r="C225" s="8" t="s">
        <v>240</v>
      </c>
      <c r="D225" s="8" t="s">
        <v>96</v>
      </c>
      <c r="E225" s="8" t="s">
        <v>139</v>
      </c>
      <c r="F225" s="8" t="s">
        <v>106</v>
      </c>
      <c r="G225" s="8" t="s">
        <v>146</v>
      </c>
      <c r="H225" s="8" t="s">
        <v>106</v>
      </c>
      <c r="I225" s="38" t="n">
        <v>148.8</v>
      </c>
      <c r="J225" s="8" t="s">
        <v>493</v>
      </c>
      <c r="K225" s="81" t="n">
        <f aca="false">(INDEX(08_Annahmen!$D$22:$D$29,MATCH($H225,08_Annahmen!$B$22:$B$29,0))/MAX($I225,15))^INDEX(08_Annahmen!$E$22:$E$29,MATCH($H225,08_Annahmen!$B$22:$B$29,0))</f>
        <v>0.884083105260627</v>
      </c>
      <c r="L225" s="82" t="n">
        <f aca="false">INDEX(08_Annahmen!$C$22:$C$29,MATCH($H225,08_Annahmen!$B$22:$B$29,0))*$K225*(1+INDEX(08_Annahmen!$F$22:$F$29,MATCH($H225,08_Annahmen!$B$22:$B$29,0)))*(1+08_Annahmen!$C$9)*(1+08_Annahmen!$C$14)*IF($J225="ja",08_Annahmen!$C$12,1)</f>
        <v>314.68938131752</v>
      </c>
      <c r="M225" s="28" t="n">
        <f aca="false">$L225*$I225</f>
        <v>46825.779940047</v>
      </c>
      <c r="N225" s="28" t="n">
        <f aca="false">$M225/12</f>
        <v>3902.14832833725</v>
      </c>
    </row>
    <row r="226" customFormat="false" ht="15" hidden="false" customHeight="false" outlineLevel="0" collapsed="false">
      <c r="B226" s="8" t="n">
        <v>220</v>
      </c>
      <c r="C226" s="8" t="s">
        <v>240</v>
      </c>
      <c r="D226" s="8" t="s">
        <v>96</v>
      </c>
      <c r="E226" s="8" t="s">
        <v>139</v>
      </c>
      <c r="F226" s="8" t="s">
        <v>106</v>
      </c>
      <c r="G226" s="8" t="s">
        <v>146</v>
      </c>
      <c r="H226" s="8" t="s">
        <v>106</v>
      </c>
      <c r="I226" s="38" t="n">
        <v>148.8</v>
      </c>
      <c r="J226" s="8" t="s">
        <v>493</v>
      </c>
      <c r="K226" s="81" t="n">
        <f aca="false">(INDEX(08_Annahmen!$D$22:$D$29,MATCH($H226,08_Annahmen!$B$22:$B$29,0))/MAX($I226,15))^INDEX(08_Annahmen!$E$22:$E$29,MATCH($H226,08_Annahmen!$B$22:$B$29,0))</f>
        <v>0.884083105260627</v>
      </c>
      <c r="L226" s="82" t="n">
        <f aca="false">INDEX(08_Annahmen!$C$22:$C$29,MATCH($H226,08_Annahmen!$B$22:$B$29,0))*$K226*(1+INDEX(08_Annahmen!$F$22:$F$29,MATCH($H226,08_Annahmen!$B$22:$B$29,0)))*(1+08_Annahmen!$C$9)*(1+08_Annahmen!$C$14)*IF($J226="ja",08_Annahmen!$C$12,1)</f>
        <v>314.68938131752</v>
      </c>
      <c r="M226" s="28" t="n">
        <f aca="false">$L226*$I226</f>
        <v>46825.779940047</v>
      </c>
      <c r="N226" s="28" t="n">
        <f aca="false">$M226/12</f>
        <v>3902.14832833725</v>
      </c>
    </row>
    <row r="227" customFormat="false" ht="15" hidden="false" customHeight="false" outlineLevel="0" collapsed="false">
      <c r="B227" s="8" t="n">
        <v>221</v>
      </c>
      <c r="C227" s="8" t="s">
        <v>240</v>
      </c>
      <c r="D227" s="8" t="s">
        <v>96</v>
      </c>
      <c r="E227" s="8" t="s">
        <v>142</v>
      </c>
      <c r="F227" s="8" t="s">
        <v>106</v>
      </c>
      <c r="G227" s="8" t="s">
        <v>150</v>
      </c>
      <c r="H227" s="8" t="s">
        <v>106</v>
      </c>
      <c r="I227" s="38" t="n">
        <v>183.1</v>
      </c>
      <c r="J227" s="8" t="s">
        <v>493</v>
      </c>
      <c r="K227" s="81" t="n">
        <f aca="false">(INDEX(08_Annahmen!$D$22:$D$29,MATCH($H227,08_Annahmen!$B$22:$B$29,0))/MAX($I227,15))^INDEX(08_Annahmen!$E$22:$E$29,MATCH($H227,08_Annahmen!$B$22:$B$29,0))</f>
        <v>0.829023064329589</v>
      </c>
      <c r="L227" s="82" t="n">
        <f aca="false">INDEX(08_Annahmen!$C$22:$C$29,MATCH($H227,08_Annahmen!$B$22:$B$29,0))*$K227*(1+INDEX(08_Annahmen!$F$22:$F$29,MATCH($H227,08_Annahmen!$B$22:$B$29,0)))*(1+08_Annahmen!$C$9)*(1+08_Annahmen!$C$14)*IF($J227="ja",08_Annahmen!$C$12,1)</f>
        <v>295.090759748117</v>
      </c>
      <c r="M227" s="28" t="n">
        <f aca="false">$L227*$I227</f>
        <v>54031.1181098803</v>
      </c>
      <c r="N227" s="28" t="n">
        <f aca="false">$M227/12</f>
        <v>4502.59317582336</v>
      </c>
    </row>
    <row r="228" customFormat="false" ht="15" hidden="false" customHeight="false" outlineLevel="0" collapsed="false">
      <c r="B228" s="8" t="n">
        <v>222</v>
      </c>
      <c r="C228" s="8" t="s">
        <v>240</v>
      </c>
      <c r="D228" s="8" t="s">
        <v>96</v>
      </c>
      <c r="E228" s="8" t="s">
        <v>142</v>
      </c>
      <c r="F228" s="8" t="s">
        <v>106</v>
      </c>
      <c r="G228" s="8" t="s">
        <v>150</v>
      </c>
      <c r="H228" s="8" t="s">
        <v>106</v>
      </c>
      <c r="I228" s="38" t="n">
        <v>183.1</v>
      </c>
      <c r="J228" s="8" t="s">
        <v>493</v>
      </c>
      <c r="K228" s="81" t="n">
        <f aca="false">(INDEX(08_Annahmen!$D$22:$D$29,MATCH($H228,08_Annahmen!$B$22:$B$29,0))/MAX($I228,15))^INDEX(08_Annahmen!$E$22:$E$29,MATCH($H228,08_Annahmen!$B$22:$B$29,0))</f>
        <v>0.829023064329589</v>
      </c>
      <c r="L228" s="82" t="n">
        <f aca="false">INDEX(08_Annahmen!$C$22:$C$29,MATCH($H228,08_Annahmen!$B$22:$B$29,0))*$K228*(1+INDEX(08_Annahmen!$F$22:$F$29,MATCH($H228,08_Annahmen!$B$22:$B$29,0)))*(1+08_Annahmen!$C$9)*(1+08_Annahmen!$C$14)*IF($J228="ja",08_Annahmen!$C$12,1)</f>
        <v>295.090759748117</v>
      </c>
      <c r="M228" s="28" t="n">
        <f aca="false">$L228*$I228</f>
        <v>54031.1181098803</v>
      </c>
      <c r="N228" s="28" t="n">
        <f aca="false">$M228/12</f>
        <v>4502.59317582336</v>
      </c>
    </row>
    <row r="229" customFormat="false" ht="15" hidden="false" customHeight="false" outlineLevel="0" collapsed="false">
      <c r="B229" s="8" t="n">
        <v>223</v>
      </c>
      <c r="C229" s="8" t="s">
        <v>240</v>
      </c>
      <c r="D229" s="8" t="s">
        <v>96</v>
      </c>
      <c r="E229" s="8" t="s">
        <v>142</v>
      </c>
      <c r="F229" s="8" t="s">
        <v>106</v>
      </c>
      <c r="G229" s="8" t="s">
        <v>150</v>
      </c>
      <c r="H229" s="8" t="s">
        <v>106</v>
      </c>
      <c r="I229" s="38" t="n">
        <v>183.1</v>
      </c>
      <c r="J229" s="8" t="s">
        <v>493</v>
      </c>
      <c r="K229" s="81" t="n">
        <f aca="false">(INDEX(08_Annahmen!$D$22:$D$29,MATCH($H229,08_Annahmen!$B$22:$B$29,0))/MAX($I229,15))^INDEX(08_Annahmen!$E$22:$E$29,MATCH($H229,08_Annahmen!$B$22:$B$29,0))</f>
        <v>0.829023064329589</v>
      </c>
      <c r="L229" s="82" t="n">
        <f aca="false">INDEX(08_Annahmen!$C$22:$C$29,MATCH($H229,08_Annahmen!$B$22:$B$29,0))*$K229*(1+INDEX(08_Annahmen!$F$22:$F$29,MATCH($H229,08_Annahmen!$B$22:$B$29,0)))*(1+08_Annahmen!$C$9)*(1+08_Annahmen!$C$14)*IF($J229="ja",08_Annahmen!$C$12,1)</f>
        <v>295.090759748117</v>
      </c>
      <c r="M229" s="28" t="n">
        <f aca="false">$L229*$I229</f>
        <v>54031.1181098803</v>
      </c>
      <c r="N229" s="28" t="n">
        <f aca="false">$M229/12</f>
        <v>4502.59317582336</v>
      </c>
    </row>
    <row r="230" customFormat="false" ht="15" hidden="false" customHeight="false" outlineLevel="0" collapsed="false">
      <c r="B230" s="8" t="n">
        <v>224</v>
      </c>
      <c r="C230" s="8" t="s">
        <v>240</v>
      </c>
      <c r="D230" s="8" t="s">
        <v>96</v>
      </c>
      <c r="E230" s="8" t="s">
        <v>142</v>
      </c>
      <c r="F230" s="8" t="s">
        <v>106</v>
      </c>
      <c r="G230" s="8" t="s">
        <v>150</v>
      </c>
      <c r="H230" s="8" t="s">
        <v>106</v>
      </c>
      <c r="I230" s="38" t="n">
        <v>183.1</v>
      </c>
      <c r="J230" s="8" t="s">
        <v>493</v>
      </c>
      <c r="K230" s="81" t="n">
        <f aca="false">(INDEX(08_Annahmen!$D$22:$D$29,MATCH($H230,08_Annahmen!$B$22:$B$29,0))/MAX($I230,15))^INDEX(08_Annahmen!$E$22:$E$29,MATCH($H230,08_Annahmen!$B$22:$B$29,0))</f>
        <v>0.829023064329589</v>
      </c>
      <c r="L230" s="82" t="n">
        <f aca="false">INDEX(08_Annahmen!$C$22:$C$29,MATCH($H230,08_Annahmen!$B$22:$B$29,0))*$K230*(1+INDEX(08_Annahmen!$F$22:$F$29,MATCH($H230,08_Annahmen!$B$22:$B$29,0)))*(1+08_Annahmen!$C$9)*(1+08_Annahmen!$C$14)*IF($J230="ja",08_Annahmen!$C$12,1)</f>
        <v>295.090759748117</v>
      </c>
      <c r="M230" s="28" t="n">
        <f aca="false">$L230*$I230</f>
        <v>54031.1181098803</v>
      </c>
      <c r="N230" s="28" t="n">
        <f aca="false">$M230/12</f>
        <v>4502.59317582336</v>
      </c>
    </row>
    <row r="231" customFormat="false" ht="15" hidden="false" customHeight="false" outlineLevel="0" collapsed="false">
      <c r="B231" s="8" t="n">
        <v>225</v>
      </c>
      <c r="C231" s="8" t="s">
        <v>240</v>
      </c>
      <c r="D231" s="8" t="s">
        <v>96</v>
      </c>
      <c r="E231" s="8" t="s">
        <v>142</v>
      </c>
      <c r="F231" s="8" t="s">
        <v>106</v>
      </c>
      <c r="G231" s="8" t="s">
        <v>150</v>
      </c>
      <c r="H231" s="8" t="s">
        <v>106</v>
      </c>
      <c r="I231" s="38" t="n">
        <v>183.1</v>
      </c>
      <c r="J231" s="8" t="s">
        <v>493</v>
      </c>
      <c r="K231" s="81" t="n">
        <f aca="false">(INDEX(08_Annahmen!$D$22:$D$29,MATCH($H231,08_Annahmen!$B$22:$B$29,0))/MAX($I231,15))^INDEX(08_Annahmen!$E$22:$E$29,MATCH($H231,08_Annahmen!$B$22:$B$29,0))</f>
        <v>0.829023064329589</v>
      </c>
      <c r="L231" s="82" t="n">
        <f aca="false">INDEX(08_Annahmen!$C$22:$C$29,MATCH($H231,08_Annahmen!$B$22:$B$29,0))*$K231*(1+INDEX(08_Annahmen!$F$22:$F$29,MATCH($H231,08_Annahmen!$B$22:$B$29,0)))*(1+08_Annahmen!$C$9)*(1+08_Annahmen!$C$14)*IF($J231="ja",08_Annahmen!$C$12,1)</f>
        <v>295.090759748117</v>
      </c>
      <c r="M231" s="28" t="n">
        <f aca="false">$L231*$I231</f>
        <v>54031.1181098803</v>
      </c>
      <c r="N231" s="28" t="n">
        <f aca="false">$M231/12</f>
        <v>4502.59317582336</v>
      </c>
    </row>
    <row r="232" customFormat="false" ht="15" hidden="false" customHeight="false" outlineLevel="0" collapsed="false">
      <c r="B232" s="8" t="n">
        <v>226</v>
      </c>
      <c r="C232" s="8" t="s">
        <v>240</v>
      </c>
      <c r="D232" s="8" t="s">
        <v>96</v>
      </c>
      <c r="E232" s="8" t="s">
        <v>142</v>
      </c>
      <c r="F232" s="8" t="s">
        <v>106</v>
      </c>
      <c r="G232" s="8" t="s">
        <v>150</v>
      </c>
      <c r="H232" s="8" t="s">
        <v>106</v>
      </c>
      <c r="I232" s="38" t="n">
        <v>183.1</v>
      </c>
      <c r="J232" s="8" t="s">
        <v>493</v>
      </c>
      <c r="K232" s="81" t="n">
        <f aca="false">(INDEX(08_Annahmen!$D$22:$D$29,MATCH($H232,08_Annahmen!$B$22:$B$29,0))/MAX($I232,15))^INDEX(08_Annahmen!$E$22:$E$29,MATCH($H232,08_Annahmen!$B$22:$B$29,0))</f>
        <v>0.829023064329589</v>
      </c>
      <c r="L232" s="82" t="n">
        <f aca="false">INDEX(08_Annahmen!$C$22:$C$29,MATCH($H232,08_Annahmen!$B$22:$B$29,0))*$K232*(1+INDEX(08_Annahmen!$F$22:$F$29,MATCH($H232,08_Annahmen!$B$22:$B$29,0)))*(1+08_Annahmen!$C$9)*(1+08_Annahmen!$C$14)*IF($J232="ja",08_Annahmen!$C$12,1)</f>
        <v>295.090759748117</v>
      </c>
      <c r="M232" s="28" t="n">
        <f aca="false">$L232*$I232</f>
        <v>54031.1181098803</v>
      </c>
      <c r="N232" s="28" t="n">
        <f aca="false">$M232/12</f>
        <v>4502.59317582336</v>
      </c>
    </row>
    <row r="233" customFormat="false" ht="15" hidden="false" customHeight="false" outlineLevel="0" collapsed="false">
      <c r="B233" s="8" t="n">
        <v>227</v>
      </c>
      <c r="C233" s="8" t="s">
        <v>240</v>
      </c>
      <c r="D233" s="8" t="s">
        <v>96</v>
      </c>
      <c r="E233" s="8" t="s">
        <v>142</v>
      </c>
      <c r="F233" s="8" t="s">
        <v>106</v>
      </c>
      <c r="G233" s="8" t="s">
        <v>146</v>
      </c>
      <c r="H233" s="8" t="s">
        <v>106</v>
      </c>
      <c r="I233" s="38" t="n">
        <v>152.1</v>
      </c>
      <c r="J233" s="8" t="s">
        <v>493</v>
      </c>
      <c r="K233" s="81" t="n">
        <f aca="false">(INDEX(08_Annahmen!$D$22:$D$29,MATCH($H233,08_Annahmen!$B$22:$B$29,0))/MAX($I233,15))^INDEX(08_Annahmen!$E$22:$E$29,MATCH($H233,08_Annahmen!$B$22:$B$29,0))</f>
        <v>0.878091844684357</v>
      </c>
      <c r="L233" s="82" t="n">
        <f aca="false">INDEX(08_Annahmen!$C$22:$C$29,MATCH($H233,08_Annahmen!$B$22:$B$29,0))*$K233*(1+INDEX(08_Annahmen!$F$22:$F$29,MATCH($H233,08_Annahmen!$B$22:$B$29,0)))*(1+08_Annahmen!$C$9)*(1+08_Annahmen!$C$14)*IF($J233="ja",08_Annahmen!$C$12,1)</f>
        <v>312.556792115397</v>
      </c>
      <c r="M233" s="28" t="n">
        <f aca="false">$L233*$I233</f>
        <v>47539.8880807519</v>
      </c>
      <c r="N233" s="28" t="n">
        <f aca="false">$M233/12</f>
        <v>3961.65734006266</v>
      </c>
    </row>
    <row r="234" customFormat="false" ht="15" hidden="false" customHeight="false" outlineLevel="0" collapsed="false">
      <c r="B234" s="8" t="n">
        <v>228</v>
      </c>
      <c r="C234" s="8" t="s">
        <v>240</v>
      </c>
      <c r="D234" s="8" t="s">
        <v>96</v>
      </c>
      <c r="E234" s="8" t="s">
        <v>142</v>
      </c>
      <c r="F234" s="8" t="s">
        <v>106</v>
      </c>
      <c r="G234" s="8" t="s">
        <v>146</v>
      </c>
      <c r="H234" s="8" t="s">
        <v>106</v>
      </c>
      <c r="I234" s="38" t="n">
        <v>152.1</v>
      </c>
      <c r="J234" s="8" t="s">
        <v>493</v>
      </c>
      <c r="K234" s="81" t="n">
        <f aca="false">(INDEX(08_Annahmen!$D$22:$D$29,MATCH($H234,08_Annahmen!$B$22:$B$29,0))/MAX($I234,15))^INDEX(08_Annahmen!$E$22:$E$29,MATCH($H234,08_Annahmen!$B$22:$B$29,0))</f>
        <v>0.878091844684357</v>
      </c>
      <c r="L234" s="82" t="n">
        <f aca="false">INDEX(08_Annahmen!$C$22:$C$29,MATCH($H234,08_Annahmen!$B$22:$B$29,0))*$K234*(1+INDEX(08_Annahmen!$F$22:$F$29,MATCH($H234,08_Annahmen!$B$22:$B$29,0)))*(1+08_Annahmen!$C$9)*(1+08_Annahmen!$C$14)*IF($J234="ja",08_Annahmen!$C$12,1)</f>
        <v>312.556792115397</v>
      </c>
      <c r="M234" s="28" t="n">
        <f aca="false">$L234*$I234</f>
        <v>47539.8880807519</v>
      </c>
      <c r="N234" s="28" t="n">
        <f aca="false">$M234/12</f>
        <v>3961.65734006266</v>
      </c>
    </row>
    <row r="235" customFormat="false" ht="15" hidden="false" customHeight="false" outlineLevel="0" collapsed="false">
      <c r="B235" s="8" t="n">
        <v>229</v>
      </c>
      <c r="C235" s="8" t="s">
        <v>240</v>
      </c>
      <c r="D235" s="8" t="s">
        <v>96</v>
      </c>
      <c r="E235" s="8" t="s">
        <v>142</v>
      </c>
      <c r="F235" s="8" t="s">
        <v>106</v>
      </c>
      <c r="G235" s="8" t="s">
        <v>146</v>
      </c>
      <c r="H235" s="8" t="s">
        <v>106</v>
      </c>
      <c r="I235" s="38" t="n">
        <v>152.1</v>
      </c>
      <c r="J235" s="8" t="s">
        <v>493</v>
      </c>
      <c r="K235" s="81" t="n">
        <f aca="false">(INDEX(08_Annahmen!$D$22:$D$29,MATCH($H235,08_Annahmen!$B$22:$B$29,0))/MAX($I235,15))^INDEX(08_Annahmen!$E$22:$E$29,MATCH($H235,08_Annahmen!$B$22:$B$29,0))</f>
        <v>0.878091844684357</v>
      </c>
      <c r="L235" s="82" t="n">
        <f aca="false">INDEX(08_Annahmen!$C$22:$C$29,MATCH($H235,08_Annahmen!$B$22:$B$29,0))*$K235*(1+INDEX(08_Annahmen!$F$22:$F$29,MATCH($H235,08_Annahmen!$B$22:$B$29,0)))*(1+08_Annahmen!$C$9)*(1+08_Annahmen!$C$14)*IF($J235="ja",08_Annahmen!$C$12,1)</f>
        <v>312.556792115397</v>
      </c>
      <c r="M235" s="28" t="n">
        <f aca="false">$L235*$I235</f>
        <v>47539.8880807519</v>
      </c>
      <c r="N235" s="28" t="n">
        <f aca="false">$M235/12</f>
        <v>3961.65734006266</v>
      </c>
    </row>
    <row r="236" customFormat="false" ht="15" hidden="false" customHeight="false" outlineLevel="0" collapsed="false">
      <c r="B236" s="8" t="n">
        <v>230</v>
      </c>
      <c r="C236" s="8" t="s">
        <v>240</v>
      </c>
      <c r="D236" s="8" t="s">
        <v>96</v>
      </c>
      <c r="E236" s="8" t="s">
        <v>142</v>
      </c>
      <c r="F236" s="8" t="s">
        <v>106</v>
      </c>
      <c r="G236" s="8" t="s">
        <v>146</v>
      </c>
      <c r="H236" s="8" t="s">
        <v>106</v>
      </c>
      <c r="I236" s="38" t="n">
        <v>152.1</v>
      </c>
      <c r="J236" s="8" t="s">
        <v>493</v>
      </c>
      <c r="K236" s="81" t="n">
        <f aca="false">(INDEX(08_Annahmen!$D$22:$D$29,MATCH($H236,08_Annahmen!$B$22:$B$29,0))/MAX($I236,15))^INDEX(08_Annahmen!$E$22:$E$29,MATCH($H236,08_Annahmen!$B$22:$B$29,0))</f>
        <v>0.878091844684357</v>
      </c>
      <c r="L236" s="82" t="n">
        <f aca="false">INDEX(08_Annahmen!$C$22:$C$29,MATCH($H236,08_Annahmen!$B$22:$B$29,0))*$K236*(1+INDEX(08_Annahmen!$F$22:$F$29,MATCH($H236,08_Annahmen!$B$22:$B$29,0)))*(1+08_Annahmen!$C$9)*(1+08_Annahmen!$C$14)*IF($J236="ja",08_Annahmen!$C$12,1)</f>
        <v>312.556792115397</v>
      </c>
      <c r="M236" s="28" t="n">
        <f aca="false">$L236*$I236</f>
        <v>47539.8880807519</v>
      </c>
      <c r="N236" s="28" t="n">
        <f aca="false">$M236/12</f>
        <v>3961.65734006266</v>
      </c>
    </row>
    <row r="237" customFormat="false" ht="15" hidden="false" customHeight="false" outlineLevel="0" collapsed="false">
      <c r="B237" s="8" t="n">
        <v>231</v>
      </c>
      <c r="C237" s="8" t="s">
        <v>240</v>
      </c>
      <c r="D237" s="8" t="s">
        <v>96</v>
      </c>
      <c r="E237" s="8" t="s">
        <v>142</v>
      </c>
      <c r="F237" s="8" t="s">
        <v>106</v>
      </c>
      <c r="G237" s="8" t="s">
        <v>146</v>
      </c>
      <c r="H237" s="8" t="s">
        <v>106</v>
      </c>
      <c r="I237" s="38" t="n">
        <v>152.1</v>
      </c>
      <c r="J237" s="8" t="s">
        <v>493</v>
      </c>
      <c r="K237" s="81" t="n">
        <f aca="false">(INDEX(08_Annahmen!$D$22:$D$29,MATCH($H237,08_Annahmen!$B$22:$B$29,0))/MAX($I237,15))^INDEX(08_Annahmen!$E$22:$E$29,MATCH($H237,08_Annahmen!$B$22:$B$29,0))</f>
        <v>0.878091844684357</v>
      </c>
      <c r="L237" s="82" t="n">
        <f aca="false">INDEX(08_Annahmen!$C$22:$C$29,MATCH($H237,08_Annahmen!$B$22:$B$29,0))*$K237*(1+INDEX(08_Annahmen!$F$22:$F$29,MATCH($H237,08_Annahmen!$B$22:$B$29,0)))*(1+08_Annahmen!$C$9)*(1+08_Annahmen!$C$14)*IF($J237="ja",08_Annahmen!$C$12,1)</f>
        <v>312.556792115397</v>
      </c>
      <c r="M237" s="28" t="n">
        <f aca="false">$L237*$I237</f>
        <v>47539.8880807519</v>
      </c>
      <c r="N237" s="28" t="n">
        <f aca="false">$M237/12</f>
        <v>3961.65734006266</v>
      </c>
    </row>
    <row r="238" customFormat="false" ht="15" hidden="false" customHeight="false" outlineLevel="0" collapsed="false">
      <c r="B238" s="8" t="n">
        <v>232</v>
      </c>
      <c r="C238" s="8" t="s">
        <v>240</v>
      </c>
      <c r="D238" s="8" t="s">
        <v>96</v>
      </c>
      <c r="E238" s="8" t="s">
        <v>142</v>
      </c>
      <c r="F238" s="8" t="s">
        <v>106</v>
      </c>
      <c r="G238" s="8" t="s">
        <v>146</v>
      </c>
      <c r="H238" s="8" t="s">
        <v>106</v>
      </c>
      <c r="I238" s="38" t="n">
        <v>152.1</v>
      </c>
      <c r="J238" s="8" t="s">
        <v>493</v>
      </c>
      <c r="K238" s="81" t="n">
        <f aca="false">(INDEX(08_Annahmen!$D$22:$D$29,MATCH($H238,08_Annahmen!$B$22:$B$29,0))/MAX($I238,15))^INDEX(08_Annahmen!$E$22:$E$29,MATCH($H238,08_Annahmen!$B$22:$B$29,0))</f>
        <v>0.878091844684357</v>
      </c>
      <c r="L238" s="82" t="n">
        <f aca="false">INDEX(08_Annahmen!$C$22:$C$29,MATCH($H238,08_Annahmen!$B$22:$B$29,0))*$K238*(1+INDEX(08_Annahmen!$F$22:$F$29,MATCH($H238,08_Annahmen!$B$22:$B$29,0)))*(1+08_Annahmen!$C$9)*(1+08_Annahmen!$C$14)*IF($J238="ja",08_Annahmen!$C$12,1)</f>
        <v>312.556792115397</v>
      </c>
      <c r="M238" s="28" t="n">
        <f aca="false">$L238*$I238</f>
        <v>47539.8880807519</v>
      </c>
      <c r="N238" s="28" t="n">
        <f aca="false">$M238/12</f>
        <v>3961.65734006266</v>
      </c>
    </row>
    <row r="239" customFormat="false" ht="15" hidden="false" customHeight="false" outlineLevel="0" collapsed="false">
      <c r="B239" s="8" t="n">
        <v>233</v>
      </c>
      <c r="C239" s="8" t="s">
        <v>240</v>
      </c>
      <c r="D239" s="8" t="s">
        <v>96</v>
      </c>
      <c r="E239" s="8" t="s">
        <v>131</v>
      </c>
      <c r="F239" s="8" t="s">
        <v>106</v>
      </c>
      <c r="G239" s="8" t="s">
        <v>151</v>
      </c>
      <c r="H239" s="8" t="s">
        <v>106</v>
      </c>
      <c r="I239" s="38" t="n">
        <v>119.2</v>
      </c>
      <c r="J239" s="8" t="s">
        <v>493</v>
      </c>
      <c r="K239" s="81" t="n">
        <f aca="false">(INDEX(08_Annahmen!$D$22:$D$29,MATCH($H239,08_Annahmen!$B$22:$B$29,0))/MAX($I239,15))^INDEX(08_Annahmen!$E$22:$E$29,MATCH($H239,08_Annahmen!$B$22:$B$29,0))</f>
        <v>0.947009554820497</v>
      </c>
      <c r="L239" s="82" t="n">
        <f aca="false">INDEX(08_Annahmen!$C$22:$C$29,MATCH($H239,08_Annahmen!$B$22:$B$29,0))*$K239*(1+INDEX(08_Annahmen!$F$22:$F$29,MATCH($H239,08_Annahmen!$B$22:$B$29,0)))*(1+08_Annahmen!$C$9)*(1+08_Annahmen!$C$14)*IF($J239="ja",08_Annahmen!$C$12,1)</f>
        <v>337.088051038356</v>
      </c>
      <c r="M239" s="28" t="n">
        <f aca="false">$L239*$I239</f>
        <v>40180.8956837721</v>
      </c>
      <c r="N239" s="28" t="n">
        <f aca="false">$M239/12</f>
        <v>3348.40797364767</v>
      </c>
    </row>
    <row r="240" customFormat="false" ht="15" hidden="false" customHeight="false" outlineLevel="0" collapsed="false">
      <c r="B240" s="8" t="n">
        <v>234</v>
      </c>
      <c r="C240" s="8" t="s">
        <v>240</v>
      </c>
      <c r="D240" s="8" t="s">
        <v>96</v>
      </c>
      <c r="E240" s="8" t="s">
        <v>131</v>
      </c>
      <c r="F240" s="8" t="s">
        <v>106</v>
      </c>
      <c r="G240" s="8" t="s">
        <v>151</v>
      </c>
      <c r="H240" s="8" t="s">
        <v>106</v>
      </c>
      <c r="I240" s="38" t="n">
        <v>119.2</v>
      </c>
      <c r="J240" s="8" t="s">
        <v>493</v>
      </c>
      <c r="K240" s="81" t="n">
        <f aca="false">(INDEX(08_Annahmen!$D$22:$D$29,MATCH($H240,08_Annahmen!$B$22:$B$29,0))/MAX($I240,15))^INDEX(08_Annahmen!$E$22:$E$29,MATCH($H240,08_Annahmen!$B$22:$B$29,0))</f>
        <v>0.947009554820497</v>
      </c>
      <c r="L240" s="82" t="n">
        <f aca="false">INDEX(08_Annahmen!$C$22:$C$29,MATCH($H240,08_Annahmen!$B$22:$B$29,0))*$K240*(1+INDEX(08_Annahmen!$F$22:$F$29,MATCH($H240,08_Annahmen!$B$22:$B$29,0)))*(1+08_Annahmen!$C$9)*(1+08_Annahmen!$C$14)*IF($J240="ja",08_Annahmen!$C$12,1)</f>
        <v>337.088051038356</v>
      </c>
      <c r="M240" s="28" t="n">
        <f aca="false">$L240*$I240</f>
        <v>40180.8956837721</v>
      </c>
      <c r="N240" s="28" t="n">
        <f aca="false">$M240/12</f>
        <v>3348.40797364767</v>
      </c>
    </row>
    <row r="241" customFormat="false" ht="15" hidden="false" customHeight="false" outlineLevel="0" collapsed="false">
      <c r="B241" s="8" t="n">
        <v>235</v>
      </c>
      <c r="C241" s="8" t="s">
        <v>240</v>
      </c>
      <c r="D241" s="8" t="s">
        <v>96</v>
      </c>
      <c r="E241" s="8" t="s">
        <v>131</v>
      </c>
      <c r="F241" s="8" t="s">
        <v>106</v>
      </c>
      <c r="G241" s="8" t="s">
        <v>151</v>
      </c>
      <c r="H241" s="8" t="s">
        <v>106</v>
      </c>
      <c r="I241" s="38" t="n">
        <v>119.2</v>
      </c>
      <c r="J241" s="8" t="s">
        <v>493</v>
      </c>
      <c r="K241" s="81" t="n">
        <f aca="false">(INDEX(08_Annahmen!$D$22:$D$29,MATCH($H241,08_Annahmen!$B$22:$B$29,0))/MAX($I241,15))^INDEX(08_Annahmen!$E$22:$E$29,MATCH($H241,08_Annahmen!$B$22:$B$29,0))</f>
        <v>0.947009554820497</v>
      </c>
      <c r="L241" s="82" t="n">
        <f aca="false">INDEX(08_Annahmen!$C$22:$C$29,MATCH($H241,08_Annahmen!$B$22:$B$29,0))*$K241*(1+INDEX(08_Annahmen!$F$22:$F$29,MATCH($H241,08_Annahmen!$B$22:$B$29,0)))*(1+08_Annahmen!$C$9)*(1+08_Annahmen!$C$14)*IF($J241="ja",08_Annahmen!$C$12,1)</f>
        <v>337.088051038356</v>
      </c>
      <c r="M241" s="28" t="n">
        <f aca="false">$L241*$I241</f>
        <v>40180.8956837721</v>
      </c>
      <c r="N241" s="28" t="n">
        <f aca="false">$M241/12</f>
        <v>3348.40797364767</v>
      </c>
    </row>
    <row r="242" customFormat="false" ht="15" hidden="false" customHeight="false" outlineLevel="0" collapsed="false">
      <c r="B242" s="8" t="n">
        <v>236</v>
      </c>
      <c r="C242" s="8" t="s">
        <v>240</v>
      </c>
      <c r="D242" s="8" t="s">
        <v>96</v>
      </c>
      <c r="E242" s="8" t="s">
        <v>131</v>
      </c>
      <c r="F242" s="8" t="s">
        <v>106</v>
      </c>
      <c r="G242" s="8" t="s">
        <v>151</v>
      </c>
      <c r="H242" s="8" t="s">
        <v>106</v>
      </c>
      <c r="I242" s="38" t="n">
        <v>119.2</v>
      </c>
      <c r="J242" s="8" t="s">
        <v>493</v>
      </c>
      <c r="K242" s="81" t="n">
        <f aca="false">(INDEX(08_Annahmen!$D$22:$D$29,MATCH($H242,08_Annahmen!$B$22:$B$29,0))/MAX($I242,15))^INDEX(08_Annahmen!$E$22:$E$29,MATCH($H242,08_Annahmen!$B$22:$B$29,0))</f>
        <v>0.947009554820497</v>
      </c>
      <c r="L242" s="82" t="n">
        <f aca="false">INDEX(08_Annahmen!$C$22:$C$29,MATCH($H242,08_Annahmen!$B$22:$B$29,0))*$K242*(1+INDEX(08_Annahmen!$F$22:$F$29,MATCH($H242,08_Annahmen!$B$22:$B$29,0)))*(1+08_Annahmen!$C$9)*(1+08_Annahmen!$C$14)*IF($J242="ja",08_Annahmen!$C$12,1)</f>
        <v>337.088051038356</v>
      </c>
      <c r="M242" s="28" t="n">
        <f aca="false">$L242*$I242</f>
        <v>40180.8956837721</v>
      </c>
      <c r="N242" s="28" t="n">
        <f aca="false">$M242/12</f>
        <v>3348.40797364767</v>
      </c>
    </row>
    <row r="243" customFormat="false" ht="15" hidden="false" customHeight="false" outlineLevel="0" collapsed="false">
      <c r="B243" s="8" t="n">
        <v>237</v>
      </c>
      <c r="C243" s="8" t="s">
        <v>240</v>
      </c>
      <c r="D243" s="8" t="s">
        <v>96</v>
      </c>
      <c r="E243" s="8" t="s">
        <v>131</v>
      </c>
      <c r="F243" s="8" t="s">
        <v>106</v>
      </c>
      <c r="G243" s="8" t="s">
        <v>151</v>
      </c>
      <c r="H243" s="8" t="s">
        <v>106</v>
      </c>
      <c r="I243" s="38" t="n">
        <v>119.2</v>
      </c>
      <c r="J243" s="8" t="s">
        <v>493</v>
      </c>
      <c r="K243" s="81" t="n">
        <f aca="false">(INDEX(08_Annahmen!$D$22:$D$29,MATCH($H243,08_Annahmen!$B$22:$B$29,0))/MAX($I243,15))^INDEX(08_Annahmen!$E$22:$E$29,MATCH($H243,08_Annahmen!$B$22:$B$29,0))</f>
        <v>0.947009554820497</v>
      </c>
      <c r="L243" s="82" t="n">
        <f aca="false">INDEX(08_Annahmen!$C$22:$C$29,MATCH($H243,08_Annahmen!$B$22:$B$29,0))*$K243*(1+INDEX(08_Annahmen!$F$22:$F$29,MATCH($H243,08_Annahmen!$B$22:$B$29,0)))*(1+08_Annahmen!$C$9)*(1+08_Annahmen!$C$14)*IF($J243="ja",08_Annahmen!$C$12,1)</f>
        <v>337.088051038356</v>
      </c>
      <c r="M243" s="28" t="n">
        <f aca="false">$L243*$I243</f>
        <v>40180.8956837721</v>
      </c>
      <c r="N243" s="28" t="n">
        <f aca="false">$M243/12</f>
        <v>3348.40797364767</v>
      </c>
    </row>
    <row r="244" customFormat="false" ht="15" hidden="false" customHeight="false" outlineLevel="0" collapsed="false">
      <c r="B244" s="8" t="n">
        <v>238</v>
      </c>
      <c r="C244" s="8" t="s">
        <v>240</v>
      </c>
      <c r="D244" s="8" t="s">
        <v>96</v>
      </c>
      <c r="E244" s="8" t="s">
        <v>131</v>
      </c>
      <c r="F244" s="8" t="s">
        <v>106</v>
      </c>
      <c r="G244" s="8" t="s">
        <v>151</v>
      </c>
      <c r="H244" s="8" t="s">
        <v>106</v>
      </c>
      <c r="I244" s="38" t="n">
        <v>119.2</v>
      </c>
      <c r="J244" s="8" t="s">
        <v>493</v>
      </c>
      <c r="K244" s="81" t="n">
        <f aca="false">(INDEX(08_Annahmen!$D$22:$D$29,MATCH($H244,08_Annahmen!$B$22:$B$29,0))/MAX($I244,15))^INDEX(08_Annahmen!$E$22:$E$29,MATCH($H244,08_Annahmen!$B$22:$B$29,0))</f>
        <v>0.947009554820497</v>
      </c>
      <c r="L244" s="82" t="n">
        <f aca="false">INDEX(08_Annahmen!$C$22:$C$29,MATCH($H244,08_Annahmen!$B$22:$B$29,0))*$K244*(1+INDEX(08_Annahmen!$F$22:$F$29,MATCH($H244,08_Annahmen!$B$22:$B$29,0)))*(1+08_Annahmen!$C$9)*(1+08_Annahmen!$C$14)*IF($J244="ja",08_Annahmen!$C$12,1)</f>
        <v>337.088051038356</v>
      </c>
      <c r="M244" s="28" t="n">
        <f aca="false">$L244*$I244</f>
        <v>40180.8956837721</v>
      </c>
      <c r="N244" s="28" t="n">
        <f aca="false">$M244/12</f>
        <v>3348.40797364767</v>
      </c>
    </row>
    <row r="245" customFormat="false" ht="15" hidden="false" customHeight="false" outlineLevel="0" collapsed="false">
      <c r="B245" s="8" t="n">
        <v>239</v>
      </c>
      <c r="C245" s="8" t="s">
        <v>240</v>
      </c>
      <c r="D245" s="8" t="s">
        <v>96</v>
      </c>
      <c r="E245" s="8" t="s">
        <v>131</v>
      </c>
      <c r="F245" s="8" t="s">
        <v>106</v>
      </c>
      <c r="G245" s="8" t="s">
        <v>151</v>
      </c>
      <c r="H245" s="8" t="s">
        <v>106</v>
      </c>
      <c r="I245" s="38" t="n">
        <v>97.2</v>
      </c>
      <c r="J245" s="8" t="s">
        <v>493</v>
      </c>
      <c r="K245" s="81" t="n">
        <f aca="false">(INDEX(08_Annahmen!$D$22:$D$29,MATCH($H245,08_Annahmen!$B$22:$B$29,0))/MAX($I245,15))^INDEX(08_Annahmen!$E$22:$E$29,MATCH($H245,08_Annahmen!$B$22:$B$29,0))</f>
        <v>1.00884270485364</v>
      </c>
      <c r="L245" s="82" t="n">
        <f aca="false">INDEX(08_Annahmen!$C$22:$C$29,MATCH($H245,08_Annahmen!$B$22:$B$29,0))*$K245*(1+INDEX(08_Annahmen!$F$22:$F$29,MATCH($H245,08_Annahmen!$B$22:$B$29,0)))*(1+08_Annahmen!$C$9)*(1+08_Annahmen!$C$14)*IF($J245="ja",08_Annahmen!$C$12,1)</f>
        <v>359.097560792652</v>
      </c>
      <c r="M245" s="28" t="n">
        <f aca="false">$L245*$I245</f>
        <v>34904.2829090458</v>
      </c>
      <c r="N245" s="28" t="n">
        <f aca="false">$M245/12</f>
        <v>2908.69024242048</v>
      </c>
    </row>
    <row r="246" customFormat="false" ht="15" hidden="false" customHeight="false" outlineLevel="0" collapsed="false">
      <c r="B246" s="8" t="n">
        <v>240</v>
      </c>
      <c r="C246" s="8" t="s">
        <v>240</v>
      </c>
      <c r="D246" s="8" t="s">
        <v>96</v>
      </c>
      <c r="E246" s="8" t="s">
        <v>131</v>
      </c>
      <c r="F246" s="8" t="s">
        <v>106</v>
      </c>
      <c r="G246" s="8" t="s">
        <v>151</v>
      </c>
      <c r="H246" s="8" t="s">
        <v>106</v>
      </c>
      <c r="I246" s="38" t="n">
        <v>97.2</v>
      </c>
      <c r="J246" s="8" t="s">
        <v>493</v>
      </c>
      <c r="K246" s="81" t="n">
        <f aca="false">(INDEX(08_Annahmen!$D$22:$D$29,MATCH($H246,08_Annahmen!$B$22:$B$29,0))/MAX($I246,15))^INDEX(08_Annahmen!$E$22:$E$29,MATCH($H246,08_Annahmen!$B$22:$B$29,0))</f>
        <v>1.00884270485364</v>
      </c>
      <c r="L246" s="82" t="n">
        <f aca="false">INDEX(08_Annahmen!$C$22:$C$29,MATCH($H246,08_Annahmen!$B$22:$B$29,0))*$K246*(1+INDEX(08_Annahmen!$F$22:$F$29,MATCH($H246,08_Annahmen!$B$22:$B$29,0)))*(1+08_Annahmen!$C$9)*(1+08_Annahmen!$C$14)*IF($J246="ja",08_Annahmen!$C$12,1)</f>
        <v>359.097560792652</v>
      </c>
      <c r="M246" s="28" t="n">
        <f aca="false">$L246*$I246</f>
        <v>34904.2829090458</v>
      </c>
      <c r="N246" s="28" t="n">
        <f aca="false">$M246/12</f>
        <v>2908.69024242048</v>
      </c>
    </row>
    <row r="247" customFormat="false" ht="15" hidden="false" customHeight="false" outlineLevel="0" collapsed="false">
      <c r="B247" s="8" t="n">
        <v>241</v>
      </c>
      <c r="C247" s="8" t="s">
        <v>240</v>
      </c>
      <c r="D247" s="8" t="s">
        <v>96</v>
      </c>
      <c r="E247" s="8" t="s">
        <v>131</v>
      </c>
      <c r="F247" s="8" t="s">
        <v>106</v>
      </c>
      <c r="G247" s="8" t="s">
        <v>151</v>
      </c>
      <c r="H247" s="8" t="s">
        <v>106</v>
      </c>
      <c r="I247" s="38" t="n">
        <v>97.2</v>
      </c>
      <c r="J247" s="8" t="s">
        <v>493</v>
      </c>
      <c r="K247" s="81" t="n">
        <f aca="false">(INDEX(08_Annahmen!$D$22:$D$29,MATCH($H247,08_Annahmen!$B$22:$B$29,0))/MAX($I247,15))^INDEX(08_Annahmen!$E$22:$E$29,MATCH($H247,08_Annahmen!$B$22:$B$29,0))</f>
        <v>1.00884270485364</v>
      </c>
      <c r="L247" s="82" t="n">
        <f aca="false">INDEX(08_Annahmen!$C$22:$C$29,MATCH($H247,08_Annahmen!$B$22:$B$29,0))*$K247*(1+INDEX(08_Annahmen!$F$22:$F$29,MATCH($H247,08_Annahmen!$B$22:$B$29,0)))*(1+08_Annahmen!$C$9)*(1+08_Annahmen!$C$14)*IF($J247="ja",08_Annahmen!$C$12,1)</f>
        <v>359.097560792652</v>
      </c>
      <c r="M247" s="28" t="n">
        <f aca="false">$L247*$I247</f>
        <v>34904.2829090458</v>
      </c>
      <c r="N247" s="28" t="n">
        <f aca="false">$M247/12</f>
        <v>2908.69024242048</v>
      </c>
    </row>
    <row r="248" customFormat="false" ht="15" hidden="false" customHeight="false" outlineLevel="0" collapsed="false">
      <c r="B248" s="8" t="n">
        <v>242</v>
      </c>
      <c r="C248" s="8" t="s">
        <v>240</v>
      </c>
      <c r="D248" s="8" t="s">
        <v>96</v>
      </c>
      <c r="E248" s="8" t="s">
        <v>131</v>
      </c>
      <c r="F248" s="8" t="s">
        <v>106</v>
      </c>
      <c r="G248" s="8" t="s">
        <v>151</v>
      </c>
      <c r="H248" s="8" t="s">
        <v>106</v>
      </c>
      <c r="I248" s="38" t="n">
        <v>97.2</v>
      </c>
      <c r="J248" s="8" t="s">
        <v>493</v>
      </c>
      <c r="K248" s="81" t="n">
        <f aca="false">(INDEX(08_Annahmen!$D$22:$D$29,MATCH($H248,08_Annahmen!$B$22:$B$29,0))/MAX($I248,15))^INDEX(08_Annahmen!$E$22:$E$29,MATCH($H248,08_Annahmen!$B$22:$B$29,0))</f>
        <v>1.00884270485364</v>
      </c>
      <c r="L248" s="82" t="n">
        <f aca="false">INDEX(08_Annahmen!$C$22:$C$29,MATCH($H248,08_Annahmen!$B$22:$B$29,0))*$K248*(1+INDEX(08_Annahmen!$F$22:$F$29,MATCH($H248,08_Annahmen!$B$22:$B$29,0)))*(1+08_Annahmen!$C$9)*(1+08_Annahmen!$C$14)*IF($J248="ja",08_Annahmen!$C$12,1)</f>
        <v>359.097560792652</v>
      </c>
      <c r="M248" s="28" t="n">
        <f aca="false">$L248*$I248</f>
        <v>34904.2829090458</v>
      </c>
      <c r="N248" s="28" t="n">
        <f aca="false">$M248/12</f>
        <v>2908.69024242048</v>
      </c>
    </row>
    <row r="249" customFormat="false" ht="15" hidden="false" customHeight="false" outlineLevel="0" collapsed="false">
      <c r="B249" s="8" t="n">
        <v>243</v>
      </c>
      <c r="C249" s="8" t="s">
        <v>240</v>
      </c>
      <c r="D249" s="8" t="s">
        <v>96</v>
      </c>
      <c r="E249" s="8" t="s">
        <v>131</v>
      </c>
      <c r="F249" s="8" t="s">
        <v>106</v>
      </c>
      <c r="G249" s="8" t="s">
        <v>151</v>
      </c>
      <c r="H249" s="8" t="s">
        <v>106</v>
      </c>
      <c r="I249" s="38" t="n">
        <v>97.2</v>
      </c>
      <c r="J249" s="8" t="s">
        <v>493</v>
      </c>
      <c r="K249" s="81" t="n">
        <f aca="false">(INDEX(08_Annahmen!$D$22:$D$29,MATCH($H249,08_Annahmen!$B$22:$B$29,0))/MAX($I249,15))^INDEX(08_Annahmen!$E$22:$E$29,MATCH($H249,08_Annahmen!$B$22:$B$29,0))</f>
        <v>1.00884270485364</v>
      </c>
      <c r="L249" s="82" t="n">
        <f aca="false">INDEX(08_Annahmen!$C$22:$C$29,MATCH($H249,08_Annahmen!$B$22:$B$29,0))*$K249*(1+INDEX(08_Annahmen!$F$22:$F$29,MATCH($H249,08_Annahmen!$B$22:$B$29,0)))*(1+08_Annahmen!$C$9)*(1+08_Annahmen!$C$14)*IF($J249="ja",08_Annahmen!$C$12,1)</f>
        <v>359.097560792652</v>
      </c>
      <c r="M249" s="28" t="n">
        <f aca="false">$L249*$I249</f>
        <v>34904.2829090458</v>
      </c>
      <c r="N249" s="28" t="n">
        <f aca="false">$M249/12</f>
        <v>2908.69024242048</v>
      </c>
    </row>
    <row r="250" customFormat="false" ht="15" hidden="false" customHeight="false" outlineLevel="0" collapsed="false">
      <c r="B250" s="8" t="n">
        <v>244</v>
      </c>
      <c r="C250" s="8" t="s">
        <v>240</v>
      </c>
      <c r="D250" s="8" t="s">
        <v>96</v>
      </c>
      <c r="E250" s="8" t="s">
        <v>131</v>
      </c>
      <c r="F250" s="8" t="s">
        <v>106</v>
      </c>
      <c r="G250" s="8" t="s">
        <v>151</v>
      </c>
      <c r="H250" s="8" t="s">
        <v>106</v>
      </c>
      <c r="I250" s="38" t="n">
        <v>97.2</v>
      </c>
      <c r="J250" s="8" t="s">
        <v>493</v>
      </c>
      <c r="K250" s="81" t="n">
        <f aca="false">(INDEX(08_Annahmen!$D$22:$D$29,MATCH($H250,08_Annahmen!$B$22:$B$29,0))/MAX($I250,15))^INDEX(08_Annahmen!$E$22:$E$29,MATCH($H250,08_Annahmen!$B$22:$B$29,0))</f>
        <v>1.00884270485364</v>
      </c>
      <c r="L250" s="82" t="n">
        <f aca="false">INDEX(08_Annahmen!$C$22:$C$29,MATCH($H250,08_Annahmen!$B$22:$B$29,0))*$K250*(1+INDEX(08_Annahmen!$F$22:$F$29,MATCH($H250,08_Annahmen!$B$22:$B$29,0)))*(1+08_Annahmen!$C$9)*(1+08_Annahmen!$C$14)*IF($J250="ja",08_Annahmen!$C$12,1)</f>
        <v>359.097560792652</v>
      </c>
      <c r="M250" s="28" t="n">
        <f aca="false">$L250*$I250</f>
        <v>34904.2829090458</v>
      </c>
      <c r="N250" s="28" t="n">
        <f aca="false">$M250/12</f>
        <v>2908.69024242048</v>
      </c>
    </row>
    <row r="251" customFormat="false" ht="15" hidden="false" customHeight="false" outlineLevel="0" collapsed="false">
      <c r="B251" s="20"/>
      <c r="C251" s="20" t="s">
        <v>49</v>
      </c>
      <c r="D251" s="20"/>
      <c r="E251" s="20"/>
      <c r="F251" s="20"/>
      <c r="G251" s="20"/>
      <c r="H251" s="20"/>
      <c r="I251" s="37" t="n">
        <f aca="false">SUM(I7:I250)</f>
        <v>22228.0096</v>
      </c>
      <c r="J251" s="20"/>
      <c r="K251" s="20"/>
      <c r="L251" s="20"/>
      <c r="M251" s="23" t="n">
        <f aca="false">SUM(M7:M250)</f>
        <v>7357870.93283932</v>
      </c>
      <c r="N251" s="23" t="n">
        <f aca="false">SUM(N7:N250)</f>
        <v>613155.911069944</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N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4" ySplit="6" topLeftCell="E7" activePane="bottomRight" state="frozen"/>
      <selection pane="topLeft" activeCell="A1" activeCellId="0" sqref="A1"/>
      <selection pane="topRight" activeCell="E1" activeCellId="0" sqref="E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9"/>
    <col collapsed="false" customWidth="true" hidden="false" outlineLevel="0" max="3" min="3" style="0" width="15"/>
    <col collapsed="false" customWidth="true" hidden="false" outlineLevel="0" max="4" min="4" style="0" width="17"/>
    <col collapsed="false" customWidth="true" hidden="false" outlineLevel="0" max="5" min="5" style="0" width="10"/>
    <col collapsed="false" customWidth="true" hidden="false" outlineLevel="0" max="6" min="6" style="0" width="9"/>
    <col collapsed="false" customWidth="true" hidden="false" outlineLevel="0" max="7" min="7" style="0" width="10"/>
    <col collapsed="false" customWidth="true" hidden="false" outlineLevel="0" max="8" min="8" style="0" width="13"/>
    <col collapsed="false" customWidth="true" hidden="false" outlineLevel="0" max="9" min="9" style="0" width="8"/>
    <col collapsed="false" customWidth="true" hidden="false" outlineLevel="0" max="11" min="10" style="0" width="13"/>
    <col collapsed="false" customWidth="true" hidden="false" outlineLevel="0" max="12" min="12" style="0" width="11"/>
    <col collapsed="false" customWidth="true" hidden="false" outlineLevel="0" max="13" min="13" style="0" width="13"/>
    <col collapsed="false" customWidth="true" hidden="false" outlineLevel="0" max="14" min="14" style="0" width="14"/>
  </cols>
  <sheetData>
    <row r="2" customFormat="false" ht="19.7" hidden="false" customHeight="false" outlineLevel="0" collapsed="false">
      <c r="B2" s="26" t="s">
        <v>498</v>
      </c>
    </row>
    <row r="3" customFormat="false" ht="15" hidden="false" customHeight="false" outlineLevel="0" collapsed="false">
      <c r="B3" s="4" t="s">
        <v>499</v>
      </c>
    </row>
    <row r="6" customFormat="false" ht="31.5" hidden="false" customHeight="true" outlineLevel="0" collapsed="false">
      <c r="B6" s="6" t="s">
        <v>39</v>
      </c>
      <c r="C6" s="6" t="s">
        <v>485</v>
      </c>
      <c r="D6" s="6" t="s">
        <v>103</v>
      </c>
      <c r="E6" s="7" t="s">
        <v>40</v>
      </c>
      <c r="F6" s="7" t="s">
        <v>113</v>
      </c>
      <c r="G6" s="7" t="s">
        <v>500</v>
      </c>
      <c r="H6" s="7" t="s">
        <v>492</v>
      </c>
      <c r="I6" s="7" t="s">
        <v>501</v>
      </c>
      <c r="J6" s="7" t="s">
        <v>502</v>
      </c>
      <c r="K6" s="7" t="s">
        <v>503</v>
      </c>
      <c r="L6" s="7" t="s">
        <v>504</v>
      </c>
      <c r="M6" s="7" t="s">
        <v>505</v>
      </c>
      <c r="N6" s="7" t="s">
        <v>506</v>
      </c>
    </row>
    <row r="7" customFormat="false" ht="15" hidden="false" customHeight="false" outlineLevel="0" collapsed="false">
      <c r="B7" s="8" t="s">
        <v>234</v>
      </c>
      <c r="C7" s="8" t="s">
        <v>92</v>
      </c>
      <c r="D7" s="8" t="s">
        <v>106</v>
      </c>
      <c r="E7" s="35" t="n">
        <f aca="false">SUMIFS('11_Flächen &amp; Mieten'!$I$7:$I$250,'11_Flächen &amp; Mieten'!$D$7:$D$250,$C7,'11_Flächen &amp; Mieten'!$H$7:$H$250,$D7)</f>
        <v>3614.4</v>
      </c>
      <c r="F7" s="28" t="n">
        <f aca="false">COUNTIFS('11_Flächen &amp; Mieten'!$D$7:$D$250,$C7,'11_Flächen &amp; Mieten'!$H$7:$H$250,$D7)</f>
        <v>24</v>
      </c>
      <c r="G7" s="82" t="n">
        <f aca="false">IF($E7=0,0,$H7/$E7)</f>
        <v>311.693915758034</v>
      </c>
      <c r="H7" s="28" t="n">
        <f aca="false">SUMIFS('11_Flächen &amp; Mieten'!$M$7:$M$250,'11_Flächen &amp; Mieten'!$D$7:$D$250,$C7,'11_Flächen &amp; Mieten'!$H$7:$H$250,$D7)</f>
        <v>1126586.48911584</v>
      </c>
      <c r="I7" s="34" t="n">
        <f aca="false">INDEX(08_Annahmen!$G$22:$G$29,MATCH($D7,08_Annahmen!$B$22:$B$29,0))</f>
        <v>0.02</v>
      </c>
      <c r="J7" s="28" t="n">
        <f aca="false">$H7*$I7</f>
        <v>22531.7297823168</v>
      </c>
      <c r="K7" s="28" t="n">
        <f aca="false">$H7-$J7</f>
        <v>1104054.75933352</v>
      </c>
      <c r="L7" s="34" t="n">
        <f aca="false">INDEX(08_Annahmen!$H$22:$H$29,MATCH($D7,08_Annahmen!$B$22:$B$29,0))</f>
        <v>0.13</v>
      </c>
      <c r="M7" s="28" t="n">
        <f aca="false">$H7*$L7</f>
        <v>146456.243585059</v>
      </c>
      <c r="N7" s="62" t="n">
        <f aca="false">$K7-$M7</f>
        <v>957598.515748462</v>
      </c>
    </row>
    <row r="8" customFormat="false" ht="15" hidden="false" customHeight="false" outlineLevel="0" collapsed="false">
      <c r="B8" s="8" t="s">
        <v>234</v>
      </c>
      <c r="C8" s="8" t="s">
        <v>92</v>
      </c>
      <c r="D8" s="8" t="s">
        <v>180</v>
      </c>
      <c r="E8" s="71" t="s">
        <v>307</v>
      </c>
      <c r="F8" s="82" t="n">
        <f aca="false">(COUNTIFS('11_Flächen &amp; Mieten'!$D$7:$D$250,$C8,'11_Flächen &amp; Mieten'!$H$7:$H$250,"Wohnen")*08_Annahmen!$N$22+COUNTIFS('11_Flächen &amp; Mieten'!$D$7:$D$250,$C8,'11_Flächen &amp; Mieten'!$H$7:$H$250,"Residenz",'11_Flächen &amp; Mieten'!$J$7:$J$250,"nein")*08_Annahmen!$N$23)+(COUNTIFS('11_Flächen &amp; Mieten'!$D$7:$D$250,$C8,'11_Flächen &amp; Mieten'!$H$7:$H$250,"Wotel")*08_Annahmen!$N$24+SUMIFS('11_Flächen &amp; Mieten'!$I$7:$I$250,'11_Flächen &amp; Mieten'!$D$7:$D$250,$C8,'11_Flächen &amp; Mieten'!$H$7:$H$250,"Büro")/100*08_Annahmen!$N$25+SUMIFS('11_Flächen &amp; Mieten'!$I$7:$I$250,'11_Flächen &amp; Mieten'!$D$7:$D$250,$C8,'11_Flächen &amp; Mieten'!$H$7:$H$250,"Gewerbe")/100*08_Annahmen!$N$26)</f>
        <v>33.6</v>
      </c>
      <c r="G8" s="71" t="s">
        <v>307</v>
      </c>
      <c r="H8" s="28" t="n">
        <f aca="false">((COUNTIFS('11_Flächen &amp; Mieten'!$D$7:$D$250,$C8,'11_Flächen &amp; Mieten'!$H$7:$H$250,"Wohnen")*08_Annahmen!$N$22+COUNTIFS('11_Flächen &amp; Mieten'!$D$7:$D$250,$C8,'11_Flächen &amp; Mieten'!$H$7:$H$250,"Residenz",'11_Flächen &amp; Mieten'!$J$7:$J$250,"nein")*08_Annahmen!$N$23)*08_Annahmen!$C$10+(COUNTIFS('11_Flächen &amp; Mieten'!$D$7:$D$250,$C8,'11_Flächen &amp; Mieten'!$H$7:$H$250,"Wotel")*08_Annahmen!$N$24+SUMIFS('11_Flächen &amp; Mieten'!$I$7:$I$250,'11_Flächen &amp; Mieten'!$D$7:$D$250,$C8,'11_Flächen &amp; Mieten'!$H$7:$H$250,"Büro")/100*08_Annahmen!$N$25+SUMIFS('11_Flächen &amp; Mieten'!$I$7:$I$250,'11_Flächen &amp; Mieten'!$D$7:$D$250,$C8,'11_Flächen &amp; Mieten'!$H$7:$H$250,"Gewerbe")/100*08_Annahmen!$N$26)*08_Annahmen!$C$11)*12</f>
        <v>80640</v>
      </c>
      <c r="I8" s="34" t="n">
        <f aca="false">INDEX(08_Annahmen!$G$22:$G$29,MATCH($D8,08_Annahmen!$B$22:$B$29,0))</f>
        <v>0.05</v>
      </c>
      <c r="J8" s="28" t="n">
        <f aca="false">$H8*$I8</f>
        <v>4032</v>
      </c>
      <c r="K8" s="28" t="n">
        <f aca="false">$H8-$J8</f>
        <v>76608</v>
      </c>
      <c r="L8" s="34" t="n">
        <f aca="false">INDEX(08_Annahmen!$H$22:$H$29,MATCH($D8,08_Annahmen!$B$22:$B$29,0))</f>
        <v>0.08</v>
      </c>
      <c r="M8" s="28" t="n">
        <f aca="false">$H8*$L8</f>
        <v>6451.2</v>
      </c>
      <c r="N8" s="62" t="n">
        <f aca="false">$K8-$M8</f>
        <v>70156.8</v>
      </c>
    </row>
    <row r="9" customFormat="false" ht="15" hidden="false" customHeight="false" outlineLevel="0" collapsed="false">
      <c r="B9" s="8" t="s">
        <v>236</v>
      </c>
      <c r="C9" s="8" t="s">
        <v>94</v>
      </c>
      <c r="D9" s="8" t="s">
        <v>196</v>
      </c>
      <c r="E9" s="35" t="n">
        <f aca="false">SUMIFS('11_Flächen &amp; Mieten'!$I$7:$I$250,'11_Flächen &amp; Mieten'!$D$7:$D$250,$C9,'11_Flächen &amp; Mieten'!$H$7:$H$250,$D9)</f>
        <v>800.86</v>
      </c>
      <c r="F9" s="28" t="n">
        <f aca="false">COUNTIFS('11_Flächen &amp; Mieten'!$D$7:$D$250,$C9,'11_Flächen &amp; Mieten'!$H$7:$H$250,$D9)</f>
        <v>17</v>
      </c>
      <c r="G9" s="82" t="n">
        <f aca="false">IF($E9=0,0,$H9/$E9)</f>
        <v>338.6047769999</v>
      </c>
      <c r="H9" s="28" t="n">
        <f aca="false">SUMIFS('11_Flächen &amp; Mieten'!$M$7:$M$250,'11_Flächen &amp; Mieten'!$D$7:$D$250,$C9,'11_Flächen &amp; Mieten'!$H$7:$H$250,$D9)</f>
        <v>271175.02170814</v>
      </c>
      <c r="I9" s="34" t="n">
        <f aca="false">INDEX(08_Annahmen!$G$22:$G$29,MATCH($D9,08_Annahmen!$B$22:$B$29,0))</f>
        <v>0.03</v>
      </c>
      <c r="J9" s="28" t="n">
        <f aca="false">$H9*$I9</f>
        <v>8135.2506512442</v>
      </c>
      <c r="K9" s="28" t="n">
        <f aca="false">$H9-$J9</f>
        <v>263039.771056896</v>
      </c>
      <c r="L9" s="34" t="n">
        <f aca="false">INDEX(08_Annahmen!$H$22:$H$29,MATCH($D9,08_Annahmen!$B$22:$B$29,0))</f>
        <v>0.14</v>
      </c>
      <c r="M9" s="28" t="n">
        <f aca="false">$H9*$L9</f>
        <v>37964.5030391396</v>
      </c>
      <c r="N9" s="62" t="n">
        <f aca="false">$K9-$M9</f>
        <v>225075.268017756</v>
      </c>
    </row>
    <row r="10" customFormat="false" ht="15" hidden="false" customHeight="false" outlineLevel="0" collapsed="false">
      <c r="B10" s="8" t="s">
        <v>236</v>
      </c>
      <c r="C10" s="8" t="s">
        <v>94</v>
      </c>
      <c r="D10" s="8" t="s">
        <v>180</v>
      </c>
      <c r="E10" s="71" t="s">
        <v>307</v>
      </c>
      <c r="F10" s="82" t="n">
        <f aca="false">(COUNTIFS('11_Flächen &amp; Mieten'!$D$7:$D$250,$C10,'11_Flächen &amp; Mieten'!$H$7:$H$250,"Wohnen")*08_Annahmen!$N$22+COUNTIFS('11_Flächen &amp; Mieten'!$D$7:$D$250,$C10,'11_Flächen &amp; Mieten'!$H$7:$H$250,"Residenz",'11_Flächen &amp; Mieten'!$J$7:$J$250,"nein")*08_Annahmen!$N$23)+(COUNTIFS('11_Flächen &amp; Mieten'!$D$7:$D$250,$C10,'11_Flächen &amp; Mieten'!$H$7:$H$250,"Wotel")*08_Annahmen!$N$24+SUMIFS('11_Flächen &amp; Mieten'!$I$7:$I$250,'11_Flächen &amp; Mieten'!$D$7:$D$250,$C10,'11_Flächen &amp; Mieten'!$H$7:$H$250,"Büro")/100*08_Annahmen!$N$25+SUMIFS('11_Flächen &amp; Mieten'!$I$7:$I$250,'11_Flächen &amp; Mieten'!$D$7:$D$250,$C10,'11_Flächen &amp; Mieten'!$H$7:$H$250,"Gewerbe")/100*08_Annahmen!$N$26)</f>
        <v>7.8</v>
      </c>
      <c r="G10" s="71" t="s">
        <v>307</v>
      </c>
      <c r="H10" s="28" t="n">
        <f aca="false">((COUNTIFS('11_Flächen &amp; Mieten'!$D$7:$D$250,$C10,'11_Flächen &amp; Mieten'!$H$7:$H$250,"Wohnen")*08_Annahmen!$N$22+COUNTIFS('11_Flächen &amp; Mieten'!$D$7:$D$250,$C10,'11_Flächen &amp; Mieten'!$H$7:$H$250,"Residenz",'11_Flächen &amp; Mieten'!$J$7:$J$250,"nein")*08_Annahmen!$N$23)*08_Annahmen!$C$10+(COUNTIFS('11_Flächen &amp; Mieten'!$D$7:$D$250,$C10,'11_Flächen &amp; Mieten'!$H$7:$H$250,"Wotel")*08_Annahmen!$N$24+SUMIFS('11_Flächen &amp; Mieten'!$I$7:$I$250,'11_Flächen &amp; Mieten'!$D$7:$D$250,$C10,'11_Flächen &amp; Mieten'!$H$7:$H$250,"Büro")/100*08_Annahmen!$N$25+SUMIFS('11_Flächen &amp; Mieten'!$I$7:$I$250,'11_Flächen &amp; Mieten'!$D$7:$D$250,$C10,'11_Flächen &amp; Mieten'!$H$7:$H$250,"Gewerbe")/100*08_Annahmen!$N$26)*08_Annahmen!$C$11)*12</f>
        <v>18720</v>
      </c>
      <c r="I10" s="34" t="n">
        <f aca="false">INDEX(08_Annahmen!$G$22:$G$29,MATCH($D10,08_Annahmen!$B$22:$B$29,0))</f>
        <v>0.05</v>
      </c>
      <c r="J10" s="28" t="n">
        <f aca="false">$H10*$I10</f>
        <v>936</v>
      </c>
      <c r="K10" s="28" t="n">
        <f aca="false">$H10-$J10</f>
        <v>17784</v>
      </c>
      <c r="L10" s="34" t="n">
        <f aca="false">INDEX(08_Annahmen!$H$22:$H$29,MATCH($D10,08_Annahmen!$B$22:$B$29,0))</f>
        <v>0.08</v>
      </c>
      <c r="M10" s="28" t="n">
        <f aca="false">$H10*$L10</f>
        <v>1497.6</v>
      </c>
      <c r="N10" s="62" t="n">
        <f aca="false">$K10-$M10</f>
        <v>16286.4</v>
      </c>
    </row>
    <row r="11" customFormat="false" ht="15" hidden="false" customHeight="false" outlineLevel="0" collapsed="false">
      <c r="B11" s="29" t="s">
        <v>236</v>
      </c>
      <c r="C11" s="29" t="s">
        <v>97</v>
      </c>
      <c r="D11" s="29" t="s">
        <v>196</v>
      </c>
      <c r="E11" s="41" t="n">
        <f aca="false">SUMIFS('11_Flächen &amp; Mieten'!$I$7:$I$250,'11_Flächen &amp; Mieten'!$D$7:$D$250,$C11,'11_Flächen &amp; Mieten'!$H$7:$H$250,$D11)</f>
        <v>1775.3196</v>
      </c>
      <c r="F11" s="32" t="n">
        <f aca="false">COUNTIFS('11_Flächen &amp; Mieten'!$D$7:$D$250,$C11,'11_Flächen &amp; Mieten'!$H$7:$H$250,$D11)</f>
        <v>35</v>
      </c>
      <c r="G11" s="84" t="n">
        <f aca="false">IF($E11=0,0,$H11/$E11)</f>
        <v>402.760798898586</v>
      </c>
      <c r="H11" s="32" t="n">
        <f aca="false">SUMIFS('11_Flächen &amp; Mieten'!$M$7:$M$250,'11_Flächen &amp; Mieten'!$D$7:$D$250,$C11,'11_Flächen &amp; Mieten'!$H$7:$H$250,$D11)</f>
        <v>715029.140396318</v>
      </c>
      <c r="I11" s="52" t="n">
        <f aca="false">INDEX(08_Annahmen!$G$22:$G$29,MATCH($D11,08_Annahmen!$B$22:$B$29,0))</f>
        <v>0.03</v>
      </c>
      <c r="J11" s="32" t="n">
        <f aca="false">$H11*$I11</f>
        <v>21450.8742118896</v>
      </c>
      <c r="K11" s="32" t="n">
        <f aca="false">$H11-$J11</f>
        <v>693578.266184429</v>
      </c>
      <c r="L11" s="52" t="n">
        <f aca="false">INDEX(08_Annahmen!$H$22:$H$29,MATCH($D11,08_Annahmen!$B$22:$B$29,0))</f>
        <v>0.14</v>
      </c>
      <c r="M11" s="32" t="n">
        <f aca="false">$H11*$L11</f>
        <v>100104.079655485</v>
      </c>
      <c r="N11" s="63" t="n">
        <f aca="false">$K11-$M11</f>
        <v>593474.186528944</v>
      </c>
    </row>
    <row r="12" customFormat="false" ht="15" hidden="false" customHeight="false" outlineLevel="0" collapsed="false">
      <c r="B12" s="29" t="s">
        <v>236</v>
      </c>
      <c r="C12" s="29" t="s">
        <v>97</v>
      </c>
      <c r="D12" s="29" t="s">
        <v>107</v>
      </c>
      <c r="E12" s="41" t="n">
        <f aca="false">SUMIFS('11_Flächen &amp; Mieten'!$I$7:$I$250,'11_Flächen &amp; Mieten'!$D$7:$D$250,$C12,'11_Flächen &amp; Mieten'!$H$7:$H$250,$D12)</f>
        <v>1331.76</v>
      </c>
      <c r="F12" s="32" t="n">
        <f aca="false">COUNTIFS('11_Flächen &amp; Mieten'!$D$7:$D$250,$C12,'11_Flächen &amp; Mieten'!$H$7:$H$250,$D12)</f>
        <v>1</v>
      </c>
      <c r="G12" s="84" t="n">
        <f aca="false">IF($E12=0,0,$H12/$E12)</f>
        <v>153.296263074008</v>
      </c>
      <c r="H12" s="32" t="n">
        <f aca="false">SUMIFS('11_Flächen &amp; Mieten'!$M$7:$M$250,'11_Flächen &amp; Mieten'!$D$7:$D$250,$C12,'11_Flächen &amp; Mieten'!$H$7:$H$250,$D12)</f>
        <v>204153.831311441</v>
      </c>
      <c r="I12" s="52" t="n">
        <f aca="false">INDEX(08_Annahmen!$G$22:$G$29,MATCH($D12,08_Annahmen!$B$22:$B$29,0))</f>
        <v>0.05</v>
      </c>
      <c r="J12" s="32" t="n">
        <f aca="false">$H12*$I12</f>
        <v>10207.6915655721</v>
      </c>
      <c r="K12" s="32" t="n">
        <f aca="false">$H12-$J12</f>
        <v>193946.139745869</v>
      </c>
      <c r="L12" s="52" t="n">
        <f aca="false">INDEX(08_Annahmen!$H$22:$H$29,MATCH($D12,08_Annahmen!$B$22:$B$29,0))</f>
        <v>0.08</v>
      </c>
      <c r="M12" s="32" t="n">
        <f aca="false">$H12*$L12</f>
        <v>16332.3065049153</v>
      </c>
      <c r="N12" s="63" t="n">
        <f aca="false">$K12-$M12</f>
        <v>177613.833240954</v>
      </c>
    </row>
    <row r="13" customFormat="false" ht="15" hidden="false" customHeight="false" outlineLevel="0" collapsed="false">
      <c r="B13" s="29" t="s">
        <v>236</v>
      </c>
      <c r="C13" s="29" t="s">
        <v>97</v>
      </c>
      <c r="D13" s="30" t="s">
        <v>197</v>
      </c>
      <c r="E13" s="41" t="n">
        <f aca="false">SUMIFS('11_Flächen &amp; Mieten'!$I$7:$I$250,'11_Flächen &amp; Mieten'!$D$7:$D$250,$C13,'11_Flächen &amp; Mieten'!$H$7:$H$250,$D13)</f>
        <v>1013.66</v>
      </c>
      <c r="F13" s="32" t="n">
        <f aca="false">COUNTIFS('11_Flächen &amp; Mieten'!$D$7:$D$250,$C13,'11_Flächen &amp; Mieten'!$H$7:$H$250,$D13)</f>
        <v>1</v>
      </c>
      <c r="G13" s="84" t="n">
        <f aca="false">IF($E13=0,0,$H13/$E13)</f>
        <v>572.183967010635</v>
      </c>
      <c r="H13" s="32" t="n">
        <f aca="false">SUMIFS('11_Flächen &amp; Mieten'!$M$7:$M$250,'11_Flächen &amp; Mieten'!$D$7:$D$250,$C13,'11_Flächen &amp; Mieten'!$H$7:$H$250,$D13)</f>
        <v>580000</v>
      </c>
      <c r="I13" s="52" t="n">
        <f aca="false">INDEX(08_Annahmen!$G$22:$G$29,MATCH($D13,08_Annahmen!$B$22:$B$29,0))</f>
        <v>0.1</v>
      </c>
      <c r="J13" s="32" t="n">
        <f aca="false">$H13*$I13</f>
        <v>58000</v>
      </c>
      <c r="K13" s="32" t="n">
        <f aca="false">$H13-$J13</f>
        <v>522000</v>
      </c>
      <c r="L13" s="52" t="n">
        <f aca="false">INDEX(08_Annahmen!$H$22:$H$29,MATCH($D13,08_Annahmen!$B$22:$B$29,0))</f>
        <v>0.35</v>
      </c>
      <c r="M13" s="32" t="n">
        <f aca="false">$H13*$L13</f>
        <v>203000</v>
      </c>
      <c r="N13" s="63" t="n">
        <f aca="false">$K13-$M13</f>
        <v>319000</v>
      </c>
    </row>
    <row r="14" customFormat="false" ht="15" hidden="false" customHeight="false" outlineLevel="0" collapsed="false">
      <c r="B14" s="29" t="s">
        <v>236</v>
      </c>
      <c r="C14" s="29" t="s">
        <v>97</v>
      </c>
      <c r="D14" s="30" t="s">
        <v>198</v>
      </c>
      <c r="E14" s="85" t="s">
        <v>307</v>
      </c>
      <c r="F14" s="33" t="n">
        <f aca="false">08_Annahmen!$C$55</f>
        <v>101</v>
      </c>
      <c r="G14" s="85" t="s">
        <v>307</v>
      </c>
      <c r="H14" s="33" t="n">
        <f aca="false">08_Annahmen!$C$71</f>
        <v>385680</v>
      </c>
      <c r="I14" s="52" t="n">
        <f aca="false">INDEX(08_Annahmen!$G$22:$G$29,MATCH($D14,08_Annahmen!$B$22:$B$29,0))</f>
        <v>0.05</v>
      </c>
      <c r="J14" s="32" t="n">
        <f aca="false">$H14*$I14</f>
        <v>19284</v>
      </c>
      <c r="K14" s="32" t="n">
        <f aca="false">$H14-$J14</f>
        <v>366396</v>
      </c>
      <c r="L14" s="52" t="n">
        <f aca="false">INDEX(08_Annahmen!$H$22:$H$29,MATCH($D14,08_Annahmen!$B$22:$B$29,0))</f>
        <v>0.18</v>
      </c>
      <c r="M14" s="32" t="n">
        <f aca="false">$H14*$L14</f>
        <v>69422.4</v>
      </c>
      <c r="N14" s="63" t="n">
        <f aca="false">$K14-$M14</f>
        <v>296973.6</v>
      </c>
    </row>
    <row r="15" customFormat="false" ht="15" hidden="false" customHeight="false" outlineLevel="0" collapsed="false">
      <c r="B15" s="8" t="s">
        <v>238</v>
      </c>
      <c r="C15" s="8" t="s">
        <v>100</v>
      </c>
      <c r="D15" s="8" t="s">
        <v>218</v>
      </c>
      <c r="E15" s="35" t="n">
        <f aca="false">SUMIFS('11_Flächen &amp; Mieten'!$I$7:$I$250,'11_Flächen &amp; Mieten'!$D$7:$D$250,$C15,'11_Flächen &amp; Mieten'!$H$7:$H$250,$D15)</f>
        <v>801.24</v>
      </c>
      <c r="F15" s="28" t="n">
        <f aca="false">COUNTIFS('11_Flächen &amp; Mieten'!$D$7:$D$250,$C15,'11_Flächen &amp; Mieten'!$H$7:$H$250,$D15)</f>
        <v>22</v>
      </c>
      <c r="G15" s="82" t="n">
        <f aca="false">IF($E15=0,0,$H15/$E15)</f>
        <v>596.835795138118</v>
      </c>
      <c r="H15" s="28" t="n">
        <f aca="false">SUMIFS('11_Flächen &amp; Mieten'!$M$7:$M$250,'11_Flächen &amp; Mieten'!$D$7:$D$250,$C15,'11_Flächen &amp; Mieten'!$H$7:$H$250,$D15)</f>
        <v>478208.712496466</v>
      </c>
      <c r="I15" s="34" t="n">
        <f aca="false">INDEX(08_Annahmen!$G$22:$G$29,MATCH($D15,08_Annahmen!$B$22:$B$29,0))</f>
        <v>0.08</v>
      </c>
      <c r="J15" s="28" t="n">
        <f aca="false">$H15*$I15</f>
        <v>38256.6969997173</v>
      </c>
      <c r="K15" s="28" t="n">
        <f aca="false">$H15-$J15</f>
        <v>439952.015496749</v>
      </c>
      <c r="L15" s="34" t="n">
        <f aca="false">INDEX(08_Annahmen!$H$22:$H$29,MATCH($D15,08_Annahmen!$B$22:$B$29,0))</f>
        <v>0.22</v>
      </c>
      <c r="M15" s="28" t="n">
        <f aca="false">$H15*$L15</f>
        <v>105205.916749223</v>
      </c>
      <c r="N15" s="62" t="n">
        <f aca="false">$K15-$M15</f>
        <v>334746.098747526</v>
      </c>
    </row>
    <row r="16" customFormat="false" ht="15" hidden="false" customHeight="false" outlineLevel="0" collapsed="false">
      <c r="B16" s="8" t="s">
        <v>238</v>
      </c>
      <c r="C16" s="8" t="s">
        <v>100</v>
      </c>
      <c r="D16" s="8" t="s">
        <v>130</v>
      </c>
      <c r="E16" s="35" t="n">
        <f aca="false">SUMIFS('11_Flächen &amp; Mieten'!$I$7:$I$250,'11_Flächen &amp; Mieten'!$D$7:$D$250,$C16,'11_Flächen &amp; Mieten'!$H$7:$H$250,$D16)</f>
        <v>718.92</v>
      </c>
      <c r="F16" s="28" t="n">
        <f aca="false">COUNTIFS('11_Flächen &amp; Mieten'!$D$7:$D$250,$C16,'11_Flächen &amp; Mieten'!$H$7:$H$250,$D16)</f>
        <v>20</v>
      </c>
      <c r="G16" s="82" t="n">
        <f aca="false">IF($E16=0,0,$H16/$E16)</f>
        <v>274.553217547801</v>
      </c>
      <c r="H16" s="28" t="n">
        <f aca="false">SUMIFS('11_Flächen &amp; Mieten'!$M$7:$M$250,'11_Flächen &amp; Mieten'!$D$7:$D$250,$C16,'11_Flächen &amp; Mieten'!$H$7:$H$250,$D16)</f>
        <v>197381.799159465</v>
      </c>
      <c r="I16" s="34" t="n">
        <f aca="false">INDEX(08_Annahmen!$G$22:$G$29,MATCH($D16,08_Annahmen!$B$22:$B$29,0))</f>
        <v>0.06</v>
      </c>
      <c r="J16" s="28" t="n">
        <f aca="false">$H16*$I16</f>
        <v>11842.9079495679</v>
      </c>
      <c r="K16" s="28" t="n">
        <f aca="false">$H16-$J16</f>
        <v>185538.891209897</v>
      </c>
      <c r="L16" s="34" t="n">
        <f aca="false">INDEX(08_Annahmen!$H$22:$H$29,MATCH($D16,08_Annahmen!$B$22:$B$29,0))</f>
        <v>0.09</v>
      </c>
      <c r="M16" s="28" t="n">
        <f aca="false">$H16*$L16</f>
        <v>17764.3619243519</v>
      </c>
      <c r="N16" s="62" t="n">
        <f aca="false">$K16-$M16</f>
        <v>167774.529285546</v>
      </c>
    </row>
    <row r="17" customFormat="false" ht="15" hidden="false" customHeight="false" outlineLevel="0" collapsed="false">
      <c r="B17" s="8" t="s">
        <v>238</v>
      </c>
      <c r="C17" s="8" t="s">
        <v>100</v>
      </c>
      <c r="D17" s="8" t="s">
        <v>107</v>
      </c>
      <c r="E17" s="35" t="n">
        <f aca="false">SUMIFS('11_Flächen &amp; Mieten'!$I$7:$I$250,'11_Flächen &amp; Mieten'!$D$7:$D$250,$C17,'11_Flächen &amp; Mieten'!$H$7:$H$250,$D17)</f>
        <v>1020.12</v>
      </c>
      <c r="F17" s="28" t="n">
        <f aca="false">COUNTIFS('11_Flächen &amp; Mieten'!$D$7:$D$250,$C17,'11_Flächen &amp; Mieten'!$H$7:$H$250,$D17)</f>
        <v>4</v>
      </c>
      <c r="G17" s="82" t="n">
        <f aca="false">IF($E17=0,0,$H17/$E17)</f>
        <v>189.395199541706</v>
      </c>
      <c r="H17" s="28" t="n">
        <f aca="false">SUMIFS('11_Flächen &amp; Mieten'!$M$7:$M$250,'11_Flächen &amp; Mieten'!$D$7:$D$250,$C17,'11_Flächen &amp; Mieten'!$H$7:$H$250,$D17)</f>
        <v>193205.830956485</v>
      </c>
      <c r="I17" s="34" t="n">
        <f aca="false">INDEX(08_Annahmen!$G$22:$G$29,MATCH($D17,08_Annahmen!$B$22:$B$29,0))</f>
        <v>0.05</v>
      </c>
      <c r="J17" s="28" t="n">
        <f aca="false">$H17*$I17</f>
        <v>9660.29154782423</v>
      </c>
      <c r="K17" s="28" t="n">
        <f aca="false">$H17-$J17</f>
        <v>183545.53940866</v>
      </c>
      <c r="L17" s="34" t="n">
        <f aca="false">INDEX(08_Annahmen!$H$22:$H$29,MATCH($D17,08_Annahmen!$B$22:$B$29,0))</f>
        <v>0.08</v>
      </c>
      <c r="M17" s="28" t="n">
        <f aca="false">$H17*$L17</f>
        <v>15456.4664765188</v>
      </c>
      <c r="N17" s="62" t="n">
        <f aca="false">$K17-$M17</f>
        <v>168089.072932142</v>
      </c>
    </row>
    <row r="18" customFormat="false" ht="15" hidden="false" customHeight="false" outlineLevel="0" collapsed="false">
      <c r="B18" s="8" t="s">
        <v>238</v>
      </c>
      <c r="C18" s="8" t="s">
        <v>100</v>
      </c>
      <c r="D18" s="8" t="s">
        <v>180</v>
      </c>
      <c r="E18" s="71" t="s">
        <v>307</v>
      </c>
      <c r="F18" s="82" t="n">
        <f aca="false">(COUNTIFS('11_Flächen &amp; Mieten'!$D$7:$D$250,$C18,'11_Flächen &amp; Mieten'!$H$7:$H$250,"Wohnen")*08_Annahmen!$N$22+COUNTIFS('11_Flächen &amp; Mieten'!$D$7:$D$250,$C18,'11_Flächen &amp; Mieten'!$H$7:$H$250,"Residenz",'11_Flächen &amp; Mieten'!$J$7:$J$250,"nein")*08_Annahmen!$N$23)+(COUNTIFS('11_Flächen &amp; Mieten'!$D$7:$D$250,$C18,'11_Flächen &amp; Mieten'!$H$7:$H$250,"Wotel")*08_Annahmen!$N$24+SUMIFS('11_Flächen &amp; Mieten'!$I$7:$I$250,'11_Flächen &amp; Mieten'!$D$7:$D$250,$C18,'11_Flächen &amp; Mieten'!$H$7:$H$250,"Büro")/100*08_Annahmen!$N$25+SUMIFS('11_Flächen &amp; Mieten'!$I$7:$I$250,'11_Flächen &amp; Mieten'!$D$7:$D$250,$C18,'11_Flächen &amp; Mieten'!$H$7:$H$250,"Gewerbe")/100*08_Annahmen!$N$26)</f>
        <v>49.3754</v>
      </c>
      <c r="G18" s="71" t="s">
        <v>307</v>
      </c>
      <c r="H18" s="28" t="n">
        <f aca="false">((COUNTIFS('11_Flächen &amp; Mieten'!$D$7:$D$250,$C18,'11_Flächen &amp; Mieten'!$H$7:$H$250,"Wohnen")*08_Annahmen!$N$22+COUNTIFS('11_Flächen &amp; Mieten'!$D$7:$D$250,$C18,'11_Flächen &amp; Mieten'!$H$7:$H$250,"Residenz",'11_Flächen &amp; Mieten'!$J$7:$J$250,"nein")*08_Annahmen!$N$23)*08_Annahmen!$C$10+(COUNTIFS('11_Flächen &amp; Mieten'!$D$7:$D$250,$C18,'11_Flächen &amp; Mieten'!$H$7:$H$250,"Wotel")*08_Annahmen!$N$24+SUMIFS('11_Flächen &amp; Mieten'!$I$7:$I$250,'11_Flächen &amp; Mieten'!$D$7:$D$250,$C18,'11_Flächen &amp; Mieten'!$H$7:$H$250,"Büro")/100*08_Annahmen!$N$25+SUMIFS('11_Flächen &amp; Mieten'!$I$7:$I$250,'11_Flächen &amp; Mieten'!$D$7:$D$250,$C18,'11_Flächen &amp; Mieten'!$H$7:$H$250,"Gewerbe")/100*08_Annahmen!$N$26)*08_Annahmen!$C$11)*12</f>
        <v>97763.292</v>
      </c>
      <c r="I18" s="34" t="n">
        <f aca="false">INDEX(08_Annahmen!$G$22:$G$29,MATCH($D18,08_Annahmen!$B$22:$B$29,0))</f>
        <v>0.05</v>
      </c>
      <c r="J18" s="28" t="n">
        <f aca="false">$H18*$I18</f>
        <v>4888.1646</v>
      </c>
      <c r="K18" s="28" t="n">
        <f aca="false">$H18-$J18</f>
        <v>92875.1274</v>
      </c>
      <c r="L18" s="34" t="n">
        <f aca="false">INDEX(08_Annahmen!$H$22:$H$29,MATCH($D18,08_Annahmen!$B$22:$B$29,0))</f>
        <v>0.08</v>
      </c>
      <c r="M18" s="28" t="n">
        <f aca="false">$H18*$L18</f>
        <v>7821.06336</v>
      </c>
      <c r="N18" s="62" t="n">
        <f aca="false">$K18-$M18</f>
        <v>85054.06404</v>
      </c>
    </row>
    <row r="19" customFormat="false" ht="15" hidden="false" customHeight="false" outlineLevel="0" collapsed="false">
      <c r="B19" s="8" t="s">
        <v>238</v>
      </c>
      <c r="C19" s="8" t="s">
        <v>99</v>
      </c>
      <c r="D19" s="8" t="s">
        <v>218</v>
      </c>
      <c r="E19" s="35" t="n">
        <f aca="false">SUMIFS('11_Flächen &amp; Mieten'!$I$7:$I$250,'11_Flächen &amp; Mieten'!$D$7:$D$250,$C19,'11_Flächen &amp; Mieten'!$H$7:$H$250,$D19)</f>
        <v>1216.72</v>
      </c>
      <c r="F19" s="28" t="n">
        <f aca="false">COUNTIFS('11_Flächen &amp; Mieten'!$D$7:$D$250,$C19,'11_Flächen &amp; Mieten'!$H$7:$H$250,$D19)</f>
        <v>36</v>
      </c>
      <c r="G19" s="82" t="n">
        <f aca="false">IF($E19=0,0,$H19/$E19)</f>
        <v>610.84958455577</v>
      </c>
      <c r="H19" s="28" t="n">
        <f aca="false">SUMIFS('11_Flächen &amp; Mieten'!$M$7:$M$250,'11_Flächen &amp; Mieten'!$D$7:$D$250,$C19,'11_Flächen &amp; Mieten'!$H$7:$H$250,$D19)</f>
        <v>743232.906520697</v>
      </c>
      <c r="I19" s="34" t="n">
        <f aca="false">INDEX(08_Annahmen!$G$22:$G$29,MATCH($D19,08_Annahmen!$B$22:$B$29,0))</f>
        <v>0.08</v>
      </c>
      <c r="J19" s="28" t="n">
        <f aca="false">$H19*$I19</f>
        <v>59458.6325216558</v>
      </c>
      <c r="K19" s="28" t="n">
        <f aca="false">$H19-$J19</f>
        <v>683774.273999041</v>
      </c>
      <c r="L19" s="34" t="n">
        <f aca="false">INDEX(08_Annahmen!$H$22:$H$29,MATCH($D19,08_Annahmen!$B$22:$B$29,0))</f>
        <v>0.22</v>
      </c>
      <c r="M19" s="28" t="n">
        <f aca="false">$H19*$L19</f>
        <v>163511.239434553</v>
      </c>
      <c r="N19" s="62" t="n">
        <f aca="false">$K19-$M19</f>
        <v>520263.034564488</v>
      </c>
    </row>
    <row r="20" customFormat="false" ht="15" hidden="false" customHeight="false" outlineLevel="0" collapsed="false">
      <c r="B20" s="8" t="s">
        <v>238</v>
      </c>
      <c r="C20" s="8" t="s">
        <v>99</v>
      </c>
      <c r="D20" s="8" t="s">
        <v>130</v>
      </c>
      <c r="E20" s="35" t="n">
        <f aca="false">SUMIFS('11_Flächen &amp; Mieten'!$I$7:$I$250,'11_Flächen &amp; Mieten'!$D$7:$D$250,$C20,'11_Flächen &amp; Mieten'!$H$7:$H$250,$D20)</f>
        <v>1095.44</v>
      </c>
      <c r="F20" s="28" t="n">
        <f aca="false">COUNTIFS('11_Flächen &amp; Mieten'!$D$7:$D$250,$C20,'11_Flächen &amp; Mieten'!$H$7:$H$250,$D20)</f>
        <v>32</v>
      </c>
      <c r="G20" s="82" t="n">
        <f aca="false">IF($E20=0,0,$H20/$E20)</f>
        <v>276.358613537759</v>
      </c>
      <c r="H20" s="28" t="n">
        <f aca="false">SUMIFS('11_Flächen &amp; Mieten'!$M$7:$M$250,'11_Flächen &amp; Mieten'!$D$7:$D$250,$C20,'11_Flächen &amp; Mieten'!$H$7:$H$250,$D20)</f>
        <v>302734.279613803</v>
      </c>
      <c r="I20" s="34" t="n">
        <f aca="false">INDEX(08_Annahmen!$G$22:$G$29,MATCH($D20,08_Annahmen!$B$22:$B$29,0))</f>
        <v>0.06</v>
      </c>
      <c r="J20" s="28" t="n">
        <f aca="false">$H20*$I20</f>
        <v>18164.0567768282</v>
      </c>
      <c r="K20" s="28" t="n">
        <f aca="false">$H20-$J20</f>
        <v>284570.222836975</v>
      </c>
      <c r="L20" s="34" t="n">
        <f aca="false">INDEX(08_Annahmen!$H$22:$H$29,MATCH($D20,08_Annahmen!$B$22:$B$29,0))</f>
        <v>0.09</v>
      </c>
      <c r="M20" s="28" t="n">
        <f aca="false">$H20*$L20</f>
        <v>27246.0851652423</v>
      </c>
      <c r="N20" s="62" t="n">
        <f aca="false">$K20-$M20</f>
        <v>257324.137671733</v>
      </c>
    </row>
    <row r="21" customFormat="false" ht="15" hidden="false" customHeight="false" outlineLevel="0" collapsed="false">
      <c r="B21" s="8" t="s">
        <v>238</v>
      </c>
      <c r="C21" s="8" t="s">
        <v>99</v>
      </c>
      <c r="D21" s="8" t="s">
        <v>107</v>
      </c>
      <c r="E21" s="35" t="n">
        <f aca="false">SUMIFS('11_Flächen &amp; Mieten'!$I$7:$I$250,'11_Flächen &amp; Mieten'!$D$7:$D$250,$C21,'11_Flächen &amp; Mieten'!$H$7:$H$250,$D21)</f>
        <v>1590.37</v>
      </c>
      <c r="F21" s="28" t="n">
        <f aca="false">COUNTIFS('11_Flächen &amp; Mieten'!$D$7:$D$250,$C21,'11_Flächen &amp; Mieten'!$H$7:$H$250,$D21)</f>
        <v>4</v>
      </c>
      <c r="G21" s="82" t="n">
        <f aca="false">IF($E21=0,0,$H21/$E21)</f>
        <v>179.056534366071</v>
      </c>
      <c r="H21" s="28" t="n">
        <f aca="false">SUMIFS('11_Flächen &amp; Mieten'!$M$7:$M$250,'11_Flächen &amp; Mieten'!$D$7:$D$250,$C21,'11_Flächen &amp; Mieten'!$H$7:$H$250,$D21)</f>
        <v>284766.140559768</v>
      </c>
      <c r="I21" s="34" t="n">
        <f aca="false">INDEX(08_Annahmen!$G$22:$G$29,MATCH($D21,08_Annahmen!$B$22:$B$29,0))</f>
        <v>0.05</v>
      </c>
      <c r="J21" s="28" t="n">
        <f aca="false">$H21*$I21</f>
        <v>14238.3070279884</v>
      </c>
      <c r="K21" s="28" t="n">
        <f aca="false">$H21-$J21</f>
        <v>270527.833531779</v>
      </c>
      <c r="L21" s="34" t="n">
        <f aca="false">INDEX(08_Annahmen!$H$22:$H$29,MATCH($D21,08_Annahmen!$B$22:$B$29,0))</f>
        <v>0.08</v>
      </c>
      <c r="M21" s="28" t="n">
        <f aca="false">$H21*$L21</f>
        <v>22781.2912447814</v>
      </c>
      <c r="N21" s="62" t="n">
        <f aca="false">$K21-$M21</f>
        <v>247746.542286998</v>
      </c>
    </row>
    <row r="22" customFormat="false" ht="15" hidden="false" customHeight="false" outlineLevel="0" collapsed="false">
      <c r="B22" s="8" t="s">
        <v>238</v>
      </c>
      <c r="C22" s="8" t="s">
        <v>99</v>
      </c>
      <c r="D22" s="8" t="s">
        <v>180</v>
      </c>
      <c r="E22" s="71" t="s">
        <v>307</v>
      </c>
      <c r="F22" s="82" t="n">
        <f aca="false">(COUNTIFS('11_Flächen &amp; Mieten'!$D$7:$D$250,$C22,'11_Flächen &amp; Mieten'!$H$7:$H$250,"Wohnen")*08_Annahmen!$N$22+COUNTIFS('11_Flächen &amp; Mieten'!$D$7:$D$250,$C22,'11_Flächen &amp; Mieten'!$H$7:$H$250,"Residenz",'11_Flächen &amp; Mieten'!$J$7:$J$250,"nein")*08_Annahmen!$N$23)+(COUNTIFS('11_Flächen &amp; Mieten'!$D$7:$D$250,$C22,'11_Flächen &amp; Mieten'!$H$7:$H$250,"Wotel")*08_Annahmen!$N$24+SUMIFS('11_Flächen &amp; Mieten'!$I$7:$I$250,'11_Flächen &amp; Mieten'!$D$7:$D$250,$C22,'11_Flächen &amp; Mieten'!$H$7:$H$250,"Büro")/100*08_Annahmen!$N$25+SUMIFS('11_Flächen &amp; Mieten'!$I$7:$I$250,'11_Flächen &amp; Mieten'!$D$7:$D$250,$C22,'11_Flächen &amp; Mieten'!$H$7:$H$250,"Gewerbe")/100*08_Annahmen!$N$26)</f>
        <v>77.1934</v>
      </c>
      <c r="G22" s="71" t="s">
        <v>307</v>
      </c>
      <c r="H22" s="28" t="n">
        <f aca="false">((COUNTIFS('11_Flächen &amp; Mieten'!$D$7:$D$250,$C22,'11_Flächen &amp; Mieten'!$H$7:$H$250,"Wohnen")*08_Annahmen!$N$22+COUNTIFS('11_Flächen &amp; Mieten'!$D$7:$D$250,$C22,'11_Flächen &amp; Mieten'!$H$7:$H$250,"Residenz",'11_Flächen &amp; Mieten'!$J$7:$J$250,"nein")*08_Annahmen!$N$23)*08_Annahmen!$C$10+(COUNTIFS('11_Flächen &amp; Mieten'!$D$7:$D$250,$C22,'11_Flächen &amp; Mieten'!$H$7:$H$250,"Wotel")*08_Annahmen!$N$24+SUMIFS('11_Flächen &amp; Mieten'!$I$7:$I$250,'11_Flächen &amp; Mieten'!$D$7:$D$250,$C22,'11_Flächen &amp; Mieten'!$H$7:$H$250,"Büro")/100*08_Annahmen!$N$25+SUMIFS('11_Flächen &amp; Mieten'!$I$7:$I$250,'11_Flächen &amp; Mieten'!$D$7:$D$250,$C22,'11_Flächen &amp; Mieten'!$H$7:$H$250,"Gewerbe")/100*08_Annahmen!$N$26)*08_Annahmen!$C$11)*12</f>
        <v>152842.932</v>
      </c>
      <c r="I22" s="34" t="n">
        <f aca="false">INDEX(08_Annahmen!$G$22:$G$29,MATCH($D22,08_Annahmen!$B$22:$B$29,0))</f>
        <v>0.05</v>
      </c>
      <c r="J22" s="28" t="n">
        <f aca="false">$H22*$I22</f>
        <v>7642.1466</v>
      </c>
      <c r="K22" s="28" t="n">
        <f aca="false">$H22-$J22</f>
        <v>145200.7854</v>
      </c>
      <c r="L22" s="34" t="n">
        <f aca="false">INDEX(08_Annahmen!$H$22:$H$29,MATCH($D22,08_Annahmen!$B$22:$B$29,0))</f>
        <v>0.08</v>
      </c>
      <c r="M22" s="28" t="n">
        <f aca="false">$H22*$L22</f>
        <v>12227.43456</v>
      </c>
      <c r="N22" s="62" t="n">
        <f aca="false">$K22-$M22</f>
        <v>132973.35084</v>
      </c>
    </row>
    <row r="23" customFormat="false" ht="15" hidden="false" customHeight="false" outlineLevel="0" collapsed="false">
      <c r="B23" s="8" t="s">
        <v>240</v>
      </c>
      <c r="C23" s="8" t="s">
        <v>96</v>
      </c>
      <c r="D23" s="8" t="s">
        <v>106</v>
      </c>
      <c r="E23" s="35" t="n">
        <f aca="false">SUMIFS('11_Flächen &amp; Mieten'!$I$7:$I$250,'11_Flächen &amp; Mieten'!$D$7:$D$250,$C23,'11_Flächen &amp; Mieten'!$H$7:$H$250,$D23)</f>
        <v>7249.2</v>
      </c>
      <c r="F23" s="28" t="n">
        <f aca="false">COUNTIFS('11_Flächen &amp; Mieten'!$D$7:$D$250,$C23,'11_Flächen &amp; Mieten'!$H$7:$H$250,$D23)</f>
        <v>48</v>
      </c>
      <c r="G23" s="82" t="n">
        <f aca="false">IF($E23=0,0,$H23/$E23)</f>
        <v>311.951219582975</v>
      </c>
      <c r="H23" s="28" t="n">
        <f aca="false">SUMIFS('11_Flächen &amp; Mieten'!$M$7:$M$250,'11_Flächen &amp; Mieten'!$D$7:$D$250,$C23,'11_Flächen &amp; Mieten'!$H$7:$H$250,$D23)</f>
        <v>2261396.7810009</v>
      </c>
      <c r="I23" s="34" t="n">
        <f aca="false">INDEX(08_Annahmen!$G$22:$G$29,MATCH($D23,08_Annahmen!$B$22:$B$29,0))</f>
        <v>0.02</v>
      </c>
      <c r="J23" s="28" t="n">
        <f aca="false">$H23*$I23</f>
        <v>45227.9356200181</v>
      </c>
      <c r="K23" s="28" t="n">
        <f aca="false">$H23-$J23</f>
        <v>2216168.84538089</v>
      </c>
      <c r="L23" s="34" t="n">
        <f aca="false">INDEX(08_Annahmen!$H$22:$H$29,MATCH($D23,08_Annahmen!$B$22:$B$29,0))</f>
        <v>0.13</v>
      </c>
      <c r="M23" s="28" t="n">
        <f aca="false">$H23*$L23</f>
        <v>293981.581530117</v>
      </c>
      <c r="N23" s="62" t="n">
        <f aca="false">$K23-$M23</f>
        <v>1922187.26385077</v>
      </c>
    </row>
    <row r="24" customFormat="false" ht="15" hidden="false" customHeight="false" outlineLevel="0" collapsed="false">
      <c r="B24" s="8" t="s">
        <v>240</v>
      </c>
      <c r="C24" s="8" t="s">
        <v>96</v>
      </c>
      <c r="D24" s="8" t="s">
        <v>180</v>
      </c>
      <c r="E24" s="71" t="s">
        <v>307</v>
      </c>
      <c r="F24" s="82" t="n">
        <f aca="false">(COUNTIFS('11_Flächen &amp; Mieten'!$D$7:$D$250,$C24,'11_Flächen &amp; Mieten'!$H$7:$H$250,"Wohnen")*08_Annahmen!$N$22+COUNTIFS('11_Flächen &amp; Mieten'!$D$7:$D$250,$C24,'11_Flächen &amp; Mieten'!$H$7:$H$250,"Residenz",'11_Flächen &amp; Mieten'!$J$7:$J$250,"nein")*08_Annahmen!$N$23)+(COUNTIFS('11_Flächen &amp; Mieten'!$D$7:$D$250,$C24,'11_Flächen &amp; Mieten'!$H$7:$H$250,"Wotel")*08_Annahmen!$N$24+SUMIFS('11_Flächen &amp; Mieten'!$I$7:$I$250,'11_Flächen &amp; Mieten'!$D$7:$D$250,$C24,'11_Flächen &amp; Mieten'!$H$7:$H$250,"Büro")/100*08_Annahmen!$N$25+SUMIFS('11_Flächen &amp; Mieten'!$I$7:$I$250,'11_Flächen &amp; Mieten'!$D$7:$D$250,$C24,'11_Flächen &amp; Mieten'!$H$7:$H$250,"Gewerbe")/100*08_Annahmen!$N$26)</f>
        <v>67.2</v>
      </c>
      <c r="G24" s="71" t="s">
        <v>307</v>
      </c>
      <c r="H24" s="28" t="n">
        <f aca="false">((COUNTIFS('11_Flächen &amp; Mieten'!$D$7:$D$250,$C24,'11_Flächen &amp; Mieten'!$H$7:$H$250,"Wohnen")*08_Annahmen!$N$22+COUNTIFS('11_Flächen &amp; Mieten'!$D$7:$D$250,$C24,'11_Flächen &amp; Mieten'!$H$7:$H$250,"Residenz",'11_Flächen &amp; Mieten'!$J$7:$J$250,"nein")*08_Annahmen!$N$23)*08_Annahmen!$C$10+(COUNTIFS('11_Flächen &amp; Mieten'!$D$7:$D$250,$C24,'11_Flächen &amp; Mieten'!$H$7:$H$250,"Wotel")*08_Annahmen!$N$24+SUMIFS('11_Flächen &amp; Mieten'!$I$7:$I$250,'11_Flächen &amp; Mieten'!$D$7:$D$250,$C24,'11_Flächen &amp; Mieten'!$H$7:$H$250,"Büro")/100*08_Annahmen!$N$25+SUMIFS('11_Flächen &amp; Mieten'!$I$7:$I$250,'11_Flächen &amp; Mieten'!$D$7:$D$250,$C24,'11_Flächen &amp; Mieten'!$H$7:$H$250,"Gewerbe")/100*08_Annahmen!$N$26)*08_Annahmen!$C$11)*12</f>
        <v>161280</v>
      </c>
      <c r="I24" s="34" t="n">
        <f aca="false">INDEX(08_Annahmen!$G$22:$G$29,MATCH($D24,08_Annahmen!$B$22:$B$29,0))</f>
        <v>0.05</v>
      </c>
      <c r="J24" s="28" t="n">
        <f aca="false">$H24*$I24</f>
        <v>8064</v>
      </c>
      <c r="K24" s="28" t="n">
        <f aca="false">$H24-$J24</f>
        <v>153216</v>
      </c>
      <c r="L24" s="34" t="n">
        <f aca="false">INDEX(08_Annahmen!$H$22:$H$29,MATCH($D24,08_Annahmen!$B$22:$B$29,0))</f>
        <v>0.08</v>
      </c>
      <c r="M24" s="28" t="n">
        <f aca="false">$H24*$L24</f>
        <v>12902.4</v>
      </c>
      <c r="N24" s="62" t="n">
        <f aca="false">$K24-$M24</f>
        <v>140313.6</v>
      </c>
    </row>
    <row r="25" customFormat="false" ht="15" hidden="false" customHeight="false" outlineLevel="0" collapsed="false">
      <c r="B25" s="20" t="s">
        <v>49</v>
      </c>
      <c r="C25" s="20"/>
      <c r="D25" s="20"/>
      <c r="E25" s="37" t="n">
        <f aca="false">SUM(E7:E24)</f>
        <v>22228.0096</v>
      </c>
      <c r="F25" s="86" t="n">
        <f aca="false">SUM(F7:F24)</f>
        <v>580.1688</v>
      </c>
      <c r="G25" s="20"/>
      <c r="H25" s="23" t="n">
        <f aca="false">SUM(H7:H24)</f>
        <v>8254797.15683932</v>
      </c>
      <c r="I25" s="20"/>
      <c r="J25" s="23" t="n">
        <f aca="false">SUM(J7:J24)</f>
        <v>362020.685854622</v>
      </c>
      <c r="K25" s="23" t="n">
        <f aca="false">SUM(K7:K24)</f>
        <v>7892776.4709847</v>
      </c>
      <c r="L25" s="20"/>
      <c r="M25" s="23" t="n">
        <f aca="false">SUM(M7:M24)</f>
        <v>1260126.17322939</v>
      </c>
      <c r="N25" s="23" t="n">
        <f aca="false">SUM(N7:N24)</f>
        <v>6632650.29775532</v>
      </c>
    </row>
    <row r="27" customFormat="false" ht="15" hidden="false" customHeight="false" outlineLevel="0" collapsed="false">
      <c r="B27" s="4" t="s">
        <v>507</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K6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26"/>
    <col collapsed="false" customWidth="true" hidden="false" outlineLevel="0" max="3" min="3" style="0" width="17"/>
    <col collapsed="false" customWidth="true" hidden="false" outlineLevel="0" max="4" min="4" style="0" width="13"/>
    <col collapsed="false" customWidth="true" hidden="false" outlineLevel="0" max="6" min="5" style="0" width="14"/>
    <col collapsed="false" customWidth="true" hidden="false" outlineLevel="0" max="7" min="7" style="0" width="15"/>
    <col collapsed="false" customWidth="true" hidden="false" outlineLevel="0" max="10" min="8" style="0" width="12"/>
    <col collapsed="false" customWidth="true" hidden="false" outlineLevel="0" max="11" min="11" style="0" width="15"/>
    <col collapsed="false" customWidth="true" hidden="false" outlineLevel="0" max="12" min="12" style="0" width="12"/>
  </cols>
  <sheetData>
    <row r="2" customFormat="false" ht="19.7" hidden="false" customHeight="false" outlineLevel="0" collapsed="false">
      <c r="B2" s="26" t="s">
        <v>508</v>
      </c>
    </row>
    <row r="3" customFormat="false" ht="15" hidden="false" customHeight="false" outlineLevel="0" collapsed="false">
      <c r="B3" s="4" t="s">
        <v>509</v>
      </c>
    </row>
    <row r="7" customFormat="false" ht="31.5" hidden="false" customHeight="true" outlineLevel="0" collapsed="false">
      <c r="B7" s="6" t="s">
        <v>39</v>
      </c>
      <c r="C7" s="6" t="s">
        <v>485</v>
      </c>
      <c r="D7" s="6" t="s">
        <v>103</v>
      </c>
      <c r="E7" s="7" t="s">
        <v>506</v>
      </c>
      <c r="F7" s="7" t="s">
        <v>303</v>
      </c>
      <c r="G7" s="7" t="s">
        <v>510</v>
      </c>
      <c r="H7" s="7" t="s">
        <v>511</v>
      </c>
      <c r="I7" s="7" t="s">
        <v>512</v>
      </c>
      <c r="J7" s="7" t="s">
        <v>513</v>
      </c>
      <c r="K7" s="7" t="s">
        <v>514</v>
      </c>
    </row>
    <row r="8" customFormat="false" ht="15" hidden="false" customHeight="false" outlineLevel="0" collapsed="false">
      <c r="B8" s="8" t="s">
        <v>234</v>
      </c>
      <c r="C8" s="8" t="s">
        <v>92</v>
      </c>
      <c r="D8" s="8" t="s">
        <v>106</v>
      </c>
      <c r="E8" s="11" t="n">
        <f aca="false">12_Ertragsrechnung!$N$7</f>
        <v>957598.515748462</v>
      </c>
      <c r="F8" s="47" t="n">
        <f aca="false">INDEX(08_Annahmen!$K$22:$K$29,MATCH($D8,08_Annahmen!$B$22:$B$29,0))</f>
        <v>0.034</v>
      </c>
      <c r="G8" s="62" t="n">
        <f aca="false">$E8/$F8</f>
        <v>28164662.2278959</v>
      </c>
      <c r="H8" s="34" t="n">
        <f aca="false">$G8/$G$26</f>
        <v>0.17356418175795</v>
      </c>
      <c r="I8" s="87" t="n">
        <f aca="false">IF(12_Ertragsrechnung!$E7="—","—",IF(12_Ertragsrechnung!$E7=0,0,$G8/12_Ertragsrechnung!$E7))</f>
        <v>7792.34789395085</v>
      </c>
      <c r="J8" s="28" t="n">
        <f aca="false">IF(SUMIFS($G$8:$G$25,$D$8:$D$25,$D8)=0,0,$G8*INDEX(14_DCF!$N$8:$N$15,MATCH($D8,14_DCF!$B$8:$B$15,0))/SUMIFS($G$8:$G$25,$D$8:$D$25,$D8))</f>
        <v>26781677.2809481</v>
      </c>
      <c r="K8" s="34" t="n">
        <f aca="false">IF($G8=0,0,$J8/$G8-1)</f>
        <v>-0.0491035516690138</v>
      </c>
    </row>
    <row r="9" customFormat="false" ht="15" hidden="false" customHeight="false" outlineLevel="0" collapsed="false">
      <c r="B9" s="8" t="s">
        <v>234</v>
      </c>
      <c r="C9" s="8" t="s">
        <v>92</v>
      </c>
      <c r="D9" s="8" t="s">
        <v>180</v>
      </c>
      <c r="E9" s="11" t="n">
        <f aca="false">12_Ertragsrechnung!$N$8</f>
        <v>70156.8</v>
      </c>
      <c r="F9" s="47" t="n">
        <f aca="false">INDEX(08_Annahmen!$K$22:$K$29,MATCH($D9,08_Annahmen!$B$22:$B$29,0))</f>
        <v>0.045</v>
      </c>
      <c r="G9" s="62" t="n">
        <f aca="false">$E9/$F9</f>
        <v>1559040</v>
      </c>
      <c r="H9" s="34" t="n">
        <f aca="false">$G9/$G$26</f>
        <v>0.00960755359813626</v>
      </c>
      <c r="I9" s="87" t="str">
        <f aca="false">IF(12_Ertragsrechnung!$E8="—","—",IF(12_Ertragsrechnung!$E8=0,0,$G9/12_Ertragsrechnung!$E8))</f>
        <v>—</v>
      </c>
      <c r="J9" s="28" t="n">
        <f aca="false">IF(SUMIFS($G$8:$G$25,$D$8:$D$25,$D9)=0,0,$G9*INDEX(14_DCF!$N$8:$N$15,MATCH($D9,14_DCF!$B$8:$B$15,0))/SUMIFS($G$8:$G$25,$D$8:$D$25,$D9))</f>
        <v>1486959.08461593</v>
      </c>
      <c r="K9" s="34" t="n">
        <f aca="false">IF($G9=0,0,$J9/$G9-1)</f>
        <v>-0.0462341667847316</v>
      </c>
    </row>
    <row r="10" customFormat="false" ht="15" hidden="false" customHeight="false" outlineLevel="0" collapsed="false">
      <c r="B10" s="8" t="s">
        <v>236</v>
      </c>
      <c r="C10" s="8" t="s">
        <v>94</v>
      </c>
      <c r="D10" s="8" t="s">
        <v>196</v>
      </c>
      <c r="E10" s="11" t="n">
        <f aca="false">12_Ertragsrechnung!$N$9</f>
        <v>225075.268017756</v>
      </c>
      <c r="F10" s="47" t="n">
        <f aca="false">INDEX(08_Annahmen!$K$22:$K$29,MATCH($D10,08_Annahmen!$B$22:$B$29,0))</f>
        <v>0.038</v>
      </c>
      <c r="G10" s="62" t="n">
        <f aca="false">$E10/$F10</f>
        <v>5923033.36888832</v>
      </c>
      <c r="H10" s="34" t="n">
        <f aca="false">$G10/$G$26</f>
        <v>0.0365005776344059</v>
      </c>
      <c r="I10" s="87" t="n">
        <f aca="false">IF(12_Ertragsrechnung!$E9="—","—",IF(12_Ertragsrechnung!$E9=0,0,$G10/12_Ertragsrechnung!$E9))</f>
        <v>7395.84118183992</v>
      </c>
      <c r="J10" s="28" t="n">
        <f aca="false">IF(SUMIFS($G$8:$G$25,$D$8:$D$25,$D10)=0,0,$G10*INDEX(14_DCF!$N$8:$N$15,MATCH($D10,14_DCF!$B$8:$B$15,0))/SUMIFS($G$8:$G$25,$D$8:$D$25,$D10))</f>
        <v>5625692.81974268</v>
      </c>
      <c r="K10" s="34" t="n">
        <f aca="false">IF($G10=0,0,$J10/$G10-1)</f>
        <v>-0.0502007215943561</v>
      </c>
    </row>
    <row r="11" customFormat="false" ht="15" hidden="false" customHeight="false" outlineLevel="0" collapsed="false">
      <c r="B11" s="8" t="s">
        <v>236</v>
      </c>
      <c r="C11" s="8" t="s">
        <v>94</v>
      </c>
      <c r="D11" s="8" t="s">
        <v>180</v>
      </c>
      <c r="E11" s="11" t="n">
        <f aca="false">12_Ertragsrechnung!$N$10</f>
        <v>16286.4</v>
      </c>
      <c r="F11" s="47" t="n">
        <f aca="false">INDEX(08_Annahmen!$K$22:$K$29,MATCH($D11,08_Annahmen!$B$22:$B$29,0))</f>
        <v>0.045</v>
      </c>
      <c r="G11" s="62" t="n">
        <f aca="false">$E11/$F11</f>
        <v>361920</v>
      </c>
      <c r="H11" s="34" t="n">
        <f aca="false">$G11/$G$26</f>
        <v>0.00223032494242449</v>
      </c>
      <c r="I11" s="87" t="str">
        <f aca="false">IF(12_Ertragsrechnung!$E10="—","—",IF(12_Ertragsrechnung!$E10=0,0,$G11/12_Ertragsrechnung!$E10))</f>
        <v>—</v>
      </c>
      <c r="J11" s="28" t="n">
        <f aca="false">IF(SUMIFS($G$8:$G$25,$D$8:$D$25,$D11)=0,0,$G11*INDEX(14_DCF!$N$8:$N$15,MATCH($D11,14_DCF!$B$8:$B$15,0))/SUMIFS($G$8:$G$25,$D$8:$D$25,$D11))</f>
        <v>345186.93035727</v>
      </c>
      <c r="K11" s="34" t="n">
        <f aca="false">IF($G11=0,0,$J11/$G11-1)</f>
        <v>-0.0462341667847316</v>
      </c>
    </row>
    <row r="12" customFormat="false" ht="15" hidden="false" customHeight="false" outlineLevel="0" collapsed="false">
      <c r="B12" s="29" t="s">
        <v>236</v>
      </c>
      <c r="C12" s="29" t="s">
        <v>97</v>
      </c>
      <c r="D12" s="29" t="s">
        <v>196</v>
      </c>
      <c r="E12" s="33" t="n">
        <f aca="false">12_Ertragsrechnung!$N$11</f>
        <v>593474.186528944</v>
      </c>
      <c r="F12" s="88" t="n">
        <f aca="false">INDEX(08_Annahmen!$K$22:$K$29,MATCH($D12,08_Annahmen!$B$22:$B$29,0))</f>
        <v>0.038</v>
      </c>
      <c r="G12" s="63" t="n">
        <f aca="false">$E12/$F12</f>
        <v>15617741.7507617</v>
      </c>
      <c r="H12" s="52" t="n">
        <f aca="false">$G12/$G$26</f>
        <v>0.0962440289872572</v>
      </c>
      <c r="I12" s="89" t="n">
        <f aca="false">IF(12_Ertragsrechnung!$E11="—","—",IF(12_Ertragsrechnung!$E11=0,0,$G12/12_Ertragsrechnung!$E11))</f>
        <v>8797.14376541649</v>
      </c>
      <c r="J12" s="32" t="n">
        <f aca="false">IF(SUMIFS($G$8:$G$25,$D$8:$D$25,$D12)=0,0,$G12*INDEX(14_DCF!$N$8:$N$15,MATCH($D12,14_DCF!$B$8:$B$15,0))/SUMIFS($G$8:$G$25,$D$8:$D$25,$D12))</f>
        <v>14833719.8451992</v>
      </c>
      <c r="K12" s="52" t="n">
        <f aca="false">IF($G12=0,0,$J12/$G12-1)</f>
        <v>-0.050200721594356</v>
      </c>
    </row>
    <row r="13" customFormat="false" ht="15" hidden="false" customHeight="false" outlineLevel="0" collapsed="false">
      <c r="B13" s="29" t="s">
        <v>236</v>
      </c>
      <c r="C13" s="29" t="s">
        <v>97</v>
      </c>
      <c r="D13" s="29" t="s">
        <v>107</v>
      </c>
      <c r="E13" s="33" t="n">
        <f aca="false">12_Ertragsrechnung!$N$12</f>
        <v>177613.833240954</v>
      </c>
      <c r="F13" s="88" t="n">
        <f aca="false">INDEX(08_Annahmen!$K$22:$K$29,MATCH($D13,08_Annahmen!$B$22:$B$29,0))</f>
        <v>0.056</v>
      </c>
      <c r="G13" s="63" t="n">
        <f aca="false">$E13/$F13</f>
        <v>3171675.59358846</v>
      </c>
      <c r="H13" s="52" t="n">
        <f aca="false">$G13/$G$26</f>
        <v>0.0195453889966273</v>
      </c>
      <c r="I13" s="89" t="n">
        <f aca="false">IF(12_Ertragsrechnung!$E12="—","—",IF(12_Ertragsrechnung!$E12=0,0,$G13/12_Ertragsrechnung!$E12))</f>
        <v>2381.56694418548</v>
      </c>
      <c r="J13" s="32" t="n">
        <f aca="false">IF(SUMIFS($G$8:$G$25,$D$8:$D$25,$D13)=0,0,$G13*INDEX(14_DCF!$N$8:$N$15,MATCH($D13,14_DCF!$B$8:$B$15,0))/SUMIFS($G$8:$G$25,$D$8:$D$25,$D13))</f>
        <v>3024326.05309735</v>
      </c>
      <c r="K13" s="52" t="n">
        <f aca="false">IF($G13=0,0,$J13/$G13-1)</f>
        <v>-0.0464579482179618</v>
      </c>
    </row>
    <row r="14" customFormat="false" ht="15" hidden="false" customHeight="false" outlineLevel="0" collapsed="false">
      <c r="B14" s="29" t="s">
        <v>236</v>
      </c>
      <c r="C14" s="29" t="s">
        <v>97</v>
      </c>
      <c r="D14" s="30" t="s">
        <v>197</v>
      </c>
      <c r="E14" s="33" t="n">
        <f aca="false">12_Ertragsrechnung!$N$13</f>
        <v>319000</v>
      </c>
      <c r="F14" s="88" t="n">
        <f aca="false">INDEX(08_Annahmen!$K$22:$K$29,MATCH($D14,08_Annahmen!$B$22:$B$29,0))</f>
        <v>0.066</v>
      </c>
      <c r="G14" s="63" t="n">
        <f aca="false">$E14/$F14</f>
        <v>4833333.33333333</v>
      </c>
      <c r="H14" s="52" t="n">
        <f aca="false">$G14/$G$26</f>
        <v>0.029785322414857</v>
      </c>
      <c r="I14" s="89" t="n">
        <f aca="false">IF(12_Ertragsrechnung!$E13="—","—",IF(12_Ertragsrechnung!$E13=0,0,$G14/12_Ertragsrechnung!$E13))</f>
        <v>4768.19972508862</v>
      </c>
      <c r="J14" s="32" t="n">
        <f aca="false">IF(SUMIFS($G$8:$G$25,$D$8:$D$25,$D14)=0,0,$G14*INDEX(14_DCF!$N$8:$N$15,MATCH($D14,14_DCF!$B$8:$B$15,0))/SUMIFS($G$8:$G$25,$D$8:$D$25,$D14))</f>
        <v>4458218.80540538</v>
      </c>
      <c r="K14" s="52" t="n">
        <f aca="false">IF($G14=0,0,$J14/$G14-1)</f>
        <v>-0.0776099023299223</v>
      </c>
    </row>
    <row r="15" customFormat="false" ht="15" hidden="false" customHeight="false" outlineLevel="0" collapsed="false">
      <c r="B15" s="29" t="s">
        <v>236</v>
      </c>
      <c r="C15" s="29" t="s">
        <v>97</v>
      </c>
      <c r="D15" s="30" t="s">
        <v>198</v>
      </c>
      <c r="E15" s="33" t="n">
        <f aca="false">12_Ertragsrechnung!$N$14</f>
        <v>296973.6</v>
      </c>
      <c r="F15" s="88" t="n">
        <f aca="false">INDEX(08_Annahmen!$K$22:$K$29,MATCH($D15,08_Annahmen!$B$22:$B$29,0))</f>
        <v>0.05</v>
      </c>
      <c r="G15" s="63" t="n">
        <f aca="false">$E15/$F15</f>
        <v>5939472</v>
      </c>
      <c r="H15" s="52" t="n">
        <f aca="false">$G15/$G$26</f>
        <v>0.0366018803780721</v>
      </c>
      <c r="I15" s="89" t="str">
        <f aca="false">IF(12_Ertragsrechnung!$E14="—","—",IF(12_Ertragsrechnung!$E14=0,0,$G15/12_Ertragsrechnung!$E14))</f>
        <v>—</v>
      </c>
      <c r="J15" s="32" t="n">
        <f aca="false">IF(SUMIFS($G$8:$G$25,$D$8:$D$25,$D15)=0,0,$G15*INDEX(14_DCF!$N$8:$N$15,MATCH($D15,14_DCF!$B$8:$B$15,0))/SUMIFS($G$8:$G$25,$D$8:$D$25,$D15))</f>
        <v>5644749.17957563</v>
      </c>
      <c r="K15" s="52" t="n">
        <f aca="false">IF($G15=0,0,$J15/$G15-1)</f>
        <v>-0.0496210471948301</v>
      </c>
    </row>
    <row r="16" customFormat="false" ht="15" hidden="false" customHeight="false" outlineLevel="0" collapsed="false">
      <c r="B16" s="8" t="s">
        <v>238</v>
      </c>
      <c r="C16" s="8" t="s">
        <v>100</v>
      </c>
      <c r="D16" s="8" t="s">
        <v>218</v>
      </c>
      <c r="E16" s="11" t="n">
        <f aca="false">12_Ertragsrechnung!$N$15</f>
        <v>334746.098747526</v>
      </c>
      <c r="F16" s="47" t="n">
        <f aca="false">INDEX(08_Annahmen!$K$22:$K$29,MATCH($D16,08_Annahmen!$B$22:$B$29,0))</f>
        <v>0.052</v>
      </c>
      <c r="G16" s="62" t="n">
        <f aca="false">$E16/$F16</f>
        <v>6437424.97591396</v>
      </c>
      <c r="H16" s="34" t="n">
        <f aca="false">$G16/$G$26</f>
        <v>0.0396705058818725</v>
      </c>
      <c r="I16" s="87" t="n">
        <f aca="false">IF(12_Ertragsrechnung!$E15="—","—",IF(12_Ertragsrechnung!$E15=0,0,$G16/12_Ertragsrechnung!$E15))</f>
        <v>8034.32801147467</v>
      </c>
      <c r="J16" s="28" t="n">
        <f aca="false">IF(SUMIFS($G$8:$G$25,$D$8:$D$25,$D16)=0,0,$G16*INDEX(14_DCF!$N$8:$N$15,MATCH($D16,14_DCF!$B$8:$B$15,0))/SUMIFS($G$8:$G$25,$D$8:$D$25,$D16))</f>
        <v>6082343.35688059</v>
      </c>
      <c r="K16" s="34" t="n">
        <f aca="false">IF($G16=0,0,$J16/$G16-1)</f>
        <v>-0.0551589525877091</v>
      </c>
    </row>
    <row r="17" customFormat="false" ht="15" hidden="false" customHeight="false" outlineLevel="0" collapsed="false">
      <c r="B17" s="8" t="s">
        <v>238</v>
      </c>
      <c r="C17" s="8" t="s">
        <v>100</v>
      </c>
      <c r="D17" s="8" t="s">
        <v>130</v>
      </c>
      <c r="E17" s="11" t="n">
        <f aca="false">12_Ertragsrechnung!$N$16</f>
        <v>167774.529285546</v>
      </c>
      <c r="F17" s="47" t="n">
        <f aca="false">INDEX(08_Annahmen!$K$22:$K$29,MATCH($D17,08_Annahmen!$B$22:$B$29,0))</f>
        <v>0.051</v>
      </c>
      <c r="G17" s="62" t="n">
        <f aca="false">$E17/$F17</f>
        <v>3289696.65265776</v>
      </c>
      <c r="H17" s="34" t="n">
        <f aca="false">$G17/$G$26</f>
        <v>0.020272691471687</v>
      </c>
      <c r="I17" s="87" t="n">
        <f aca="false">IF(12_Ertragsrechnung!$E16="—","—",IF(12_Ertragsrechnung!$E16=0,0,$G17/12_Ertragsrechnung!$E16))</f>
        <v>4575.88695913002</v>
      </c>
      <c r="J17" s="28" t="n">
        <f aca="false">IF(SUMIFS($G$8:$G$25,$D$8:$D$25,$D17)=0,0,$G17*INDEX(14_DCF!$N$8:$N$15,MATCH($D17,14_DCF!$B$8:$B$15,0))/SUMIFS($G$8:$G$25,$D$8:$D$25,$D17))</f>
        <v>3124672.2449409</v>
      </c>
      <c r="K17" s="34" t="n">
        <f aca="false">IF($G17=0,0,$J17/$G17-1)</f>
        <v>-0.050164019707876</v>
      </c>
    </row>
    <row r="18" customFormat="false" ht="15" hidden="false" customHeight="false" outlineLevel="0" collapsed="false">
      <c r="B18" s="8" t="s">
        <v>238</v>
      </c>
      <c r="C18" s="8" t="s">
        <v>100</v>
      </c>
      <c r="D18" s="8" t="s">
        <v>107</v>
      </c>
      <c r="E18" s="11" t="n">
        <f aca="false">12_Ertragsrechnung!$N$17</f>
        <v>168089.072932142</v>
      </c>
      <c r="F18" s="47" t="n">
        <f aca="false">INDEX(08_Annahmen!$K$22:$K$29,MATCH($D18,08_Annahmen!$B$22:$B$29,0))</f>
        <v>0.056</v>
      </c>
      <c r="G18" s="62" t="n">
        <f aca="false">$E18/$F18</f>
        <v>3001590.58807396</v>
      </c>
      <c r="H18" s="34" t="n">
        <f aca="false">$G18/$G$26</f>
        <v>0.0184972434668654</v>
      </c>
      <c r="I18" s="87" t="n">
        <f aca="false">IF(12_Ertragsrechnung!$E17="—","—",IF(12_Ertragsrechnung!$E17=0,0,$G18/12_Ertragsrechnung!$E17))</f>
        <v>2942.38970716578</v>
      </c>
      <c r="J18" s="28" t="n">
        <f aca="false">IF(SUMIFS($G$8:$G$25,$D$8:$D$25,$D18)=0,0,$G18*INDEX(14_DCF!$N$8:$N$15,MATCH($D18,14_DCF!$B$8:$B$15,0))/SUMIFS($G$8:$G$25,$D$8:$D$25,$D18))</f>
        <v>2862142.8479617</v>
      </c>
      <c r="K18" s="34" t="n">
        <f aca="false">IF($G18=0,0,$J18/$G18-1)</f>
        <v>-0.0464579482179618</v>
      </c>
    </row>
    <row r="19" customFormat="false" ht="15" hidden="false" customHeight="false" outlineLevel="0" collapsed="false">
      <c r="B19" s="8" t="s">
        <v>238</v>
      </c>
      <c r="C19" s="8" t="s">
        <v>100</v>
      </c>
      <c r="D19" s="8" t="s">
        <v>180</v>
      </c>
      <c r="E19" s="11" t="n">
        <f aca="false">12_Ertragsrechnung!$N$18</f>
        <v>85054.06404</v>
      </c>
      <c r="F19" s="47" t="n">
        <f aca="false">INDEX(08_Annahmen!$K$22:$K$29,MATCH($D19,08_Annahmen!$B$22:$B$29,0))</f>
        <v>0.045</v>
      </c>
      <c r="G19" s="62" t="n">
        <f aca="false">$E19/$F19</f>
        <v>1890090.312</v>
      </c>
      <c r="H19" s="34" t="n">
        <f aca="false">$G19/$G$26</f>
        <v>0.0116476446902312</v>
      </c>
      <c r="I19" s="87" t="str">
        <f aca="false">IF(12_Ertragsrechnung!$E18="—","—",IF(12_Ertragsrechnung!$E18=0,0,$G19/12_Ertragsrechnung!$E18))</f>
        <v>—</v>
      </c>
      <c r="J19" s="28" t="n">
        <f aca="false">IF(SUMIFS($G$8:$G$25,$D$8:$D$25,$D19)=0,0,$G19*INDEX(14_DCF!$N$8:$N$15,MATCH($D19,14_DCF!$B$8:$B$15,0))/SUMIFS($G$8:$G$25,$D$8:$D$25,$D19))</f>
        <v>1802703.56127679</v>
      </c>
      <c r="K19" s="34" t="n">
        <f aca="false">IF($G19=0,0,$J19/$G19-1)</f>
        <v>-0.0462341667847315</v>
      </c>
    </row>
    <row r="20" customFormat="false" ht="15" hidden="false" customHeight="false" outlineLevel="0" collapsed="false">
      <c r="B20" s="8" t="s">
        <v>238</v>
      </c>
      <c r="C20" s="8" t="s">
        <v>99</v>
      </c>
      <c r="D20" s="8" t="s">
        <v>218</v>
      </c>
      <c r="E20" s="11" t="n">
        <f aca="false">12_Ertragsrechnung!$N$19</f>
        <v>520263.034564488</v>
      </c>
      <c r="F20" s="47" t="n">
        <f aca="false">INDEX(08_Annahmen!$K$22:$K$29,MATCH($D20,08_Annahmen!$B$22:$B$29,0))</f>
        <v>0.052</v>
      </c>
      <c r="G20" s="62" t="n">
        <f aca="false">$E20/$F20</f>
        <v>10005058.3570094</v>
      </c>
      <c r="H20" s="34" t="n">
        <f aca="false">$G20/$G$26</f>
        <v>0.0616559770226862</v>
      </c>
      <c r="I20" s="87" t="n">
        <f aca="false">IF(12_Ertragsrechnung!$E19="—","—",IF(12_Ertragsrechnung!$E19=0,0,$G20/12_Ertragsrechnung!$E19))</f>
        <v>8222.97517671229</v>
      </c>
      <c r="J20" s="28" t="n">
        <f aca="false">IF(SUMIFS($G$8:$G$25,$D$8:$D$25,$D20)=0,0,$G20*INDEX(14_DCF!$N$8:$N$15,MATCH($D20,14_DCF!$B$8:$B$15,0))/SUMIFS($G$8:$G$25,$D$8:$D$25,$D20))</f>
        <v>9453189.81745784</v>
      </c>
      <c r="K20" s="34" t="n">
        <f aca="false">IF($G20=0,0,$J20/$G20-1)</f>
        <v>-0.0551589525877091</v>
      </c>
    </row>
    <row r="21" customFormat="false" ht="15" hidden="false" customHeight="false" outlineLevel="0" collapsed="false">
      <c r="B21" s="8" t="s">
        <v>238</v>
      </c>
      <c r="C21" s="8" t="s">
        <v>99</v>
      </c>
      <c r="D21" s="8" t="s">
        <v>130</v>
      </c>
      <c r="E21" s="11" t="n">
        <f aca="false">12_Ertragsrechnung!$N$20</f>
        <v>257324.137671733</v>
      </c>
      <c r="F21" s="47" t="n">
        <f aca="false">INDEX(08_Annahmen!$K$22:$K$29,MATCH($D21,08_Annahmen!$B$22:$B$29,0))</f>
        <v>0.051</v>
      </c>
      <c r="G21" s="62" t="n">
        <f aca="false">$E21/$F21</f>
        <v>5045571.32689672</v>
      </c>
      <c r="H21" s="34" t="n">
        <f aca="false">$G21/$G$26</f>
        <v>0.031093234911471</v>
      </c>
      <c r="I21" s="87" t="n">
        <f aca="false">IF(12_Ertragsrechnung!$E20="—","—",IF(12_Ertragsrechnung!$E20=0,0,$G21/12_Ertragsrechnung!$E20))</f>
        <v>4605.97689229599</v>
      </c>
      <c r="J21" s="28" t="n">
        <f aca="false">IF(SUMIFS($G$8:$G$25,$D$8:$D$25,$D21)=0,0,$G21*INDEX(14_DCF!$N$8:$N$15,MATCH($D21,14_DCF!$B$8:$B$15,0))/SUMIFS($G$8:$G$25,$D$8:$D$25,$D21))</f>
        <v>4792465.18741678</v>
      </c>
      <c r="K21" s="34" t="n">
        <f aca="false">IF($G21=0,0,$J21/$G21-1)</f>
        <v>-0.0501640197078759</v>
      </c>
    </row>
    <row r="22" customFormat="false" ht="15" hidden="false" customHeight="false" outlineLevel="0" collapsed="false">
      <c r="B22" s="8" t="s">
        <v>238</v>
      </c>
      <c r="C22" s="8" t="s">
        <v>99</v>
      </c>
      <c r="D22" s="8" t="s">
        <v>107</v>
      </c>
      <c r="E22" s="11" t="n">
        <f aca="false">12_Ertragsrechnung!$N$21</f>
        <v>247746.542286998</v>
      </c>
      <c r="F22" s="47" t="n">
        <f aca="false">INDEX(08_Annahmen!$K$22:$K$29,MATCH($D22,08_Annahmen!$B$22:$B$29,0))</f>
        <v>0.056</v>
      </c>
      <c r="G22" s="62" t="n">
        <f aca="false">$E22/$F22</f>
        <v>4424045.3979821</v>
      </c>
      <c r="H22" s="34" t="n">
        <f aca="false">$G22/$G$26</f>
        <v>0.027263093494523</v>
      </c>
      <c r="I22" s="87" t="n">
        <f aca="false">IF(12_Ertragsrechnung!$E21="—","—",IF(12_Ertragsrechnung!$E21=0,0,$G22/12_Ertragsrechnung!$E21))</f>
        <v>2781.77115890145</v>
      </c>
      <c r="J22" s="28" t="n">
        <f aca="false">IF(SUMIFS($G$8:$G$25,$D$8:$D$25,$D22)=0,0,$G22*INDEX(14_DCF!$N$8:$N$15,MATCH($D22,14_DCF!$B$8:$B$15,0))/SUMIFS($G$8:$G$25,$D$8:$D$25,$D22))</f>
        <v>4218513.32596874</v>
      </c>
      <c r="K22" s="34" t="n">
        <f aca="false">IF($G22=0,0,$J22/$G22-1)</f>
        <v>-0.0464579482179619</v>
      </c>
    </row>
    <row r="23" customFormat="false" ht="15" hidden="false" customHeight="false" outlineLevel="0" collapsed="false">
      <c r="B23" s="8" t="s">
        <v>238</v>
      </c>
      <c r="C23" s="8" t="s">
        <v>99</v>
      </c>
      <c r="D23" s="8" t="s">
        <v>180</v>
      </c>
      <c r="E23" s="11" t="n">
        <f aca="false">12_Ertragsrechnung!$N$22</f>
        <v>132973.35084</v>
      </c>
      <c r="F23" s="47" t="n">
        <f aca="false">INDEX(08_Annahmen!$K$22:$K$29,MATCH($D23,08_Annahmen!$B$22:$B$29,0))</f>
        <v>0.045</v>
      </c>
      <c r="G23" s="62" t="n">
        <f aca="false">$E23/$F23</f>
        <v>2954963.352</v>
      </c>
      <c r="H23" s="34" t="n">
        <f aca="false">$G23/$G$26</f>
        <v>0.0182099040338082</v>
      </c>
      <c r="I23" s="87" t="str">
        <f aca="false">IF(12_Ertragsrechnung!$E22="—","—",IF(12_Ertragsrechnung!$E22=0,0,$G23/12_Ertragsrechnung!$E22))</f>
        <v>—</v>
      </c>
      <c r="J23" s="28" t="n">
        <f aca="false">IF(SUMIFS($G$8:$G$25,$D$8:$D$25,$D23)=0,0,$G23*INDEX(14_DCF!$N$8:$N$15,MATCH($D23,14_DCF!$B$8:$B$15,0))/SUMIFS($G$8:$G$25,$D$8:$D$25,$D23))</f>
        <v>2818343.08354086</v>
      </c>
      <c r="K23" s="34" t="n">
        <f aca="false">IF($G23=0,0,$J23/$G23-1)</f>
        <v>-0.0462341667847315</v>
      </c>
    </row>
    <row r="24" customFormat="false" ht="15" hidden="false" customHeight="false" outlineLevel="0" collapsed="false">
      <c r="B24" s="8" t="s">
        <v>240</v>
      </c>
      <c r="C24" s="8" t="s">
        <v>96</v>
      </c>
      <c r="D24" s="8" t="s">
        <v>106</v>
      </c>
      <c r="E24" s="11" t="n">
        <f aca="false">12_Ertragsrechnung!$N$23</f>
        <v>1922187.26385077</v>
      </c>
      <c r="F24" s="47" t="n">
        <f aca="false">INDEX(08_Annahmen!$K$22:$K$29,MATCH($D24,08_Annahmen!$B$22:$B$29,0))</f>
        <v>0.034</v>
      </c>
      <c r="G24" s="62" t="n">
        <f aca="false">$E24/$F24</f>
        <v>56534919.5250226</v>
      </c>
      <c r="H24" s="34" t="n">
        <f aca="false">$G24/$G$26</f>
        <v>0.348395339120853</v>
      </c>
      <c r="I24" s="87" t="n">
        <f aca="false">IF(12_Ertragsrechnung!$E23="—","—",IF(12_Ertragsrechnung!$E23=0,0,$G24/12_Ertragsrechnung!$E23))</f>
        <v>7798.78048957438</v>
      </c>
      <c r="J24" s="28" t="n">
        <f aca="false">IF(SUMIFS($G$8:$G$25,$D$8:$D$25,$D24)=0,0,$G24*INDEX(14_DCF!$N$8:$N$15,MATCH($D24,14_DCF!$B$8:$B$15,0))/SUMIFS($G$8:$G$25,$D$8:$D$25,$D24))</f>
        <v>53758854.1830221</v>
      </c>
      <c r="K24" s="34" t="n">
        <f aca="false">IF($G24=0,0,$J24/$G24-1)</f>
        <v>-0.0491035516690138</v>
      </c>
    </row>
    <row r="25" customFormat="false" ht="15" hidden="false" customHeight="false" outlineLevel="0" collapsed="false">
      <c r="B25" s="8" t="s">
        <v>240</v>
      </c>
      <c r="C25" s="8" t="s">
        <v>96</v>
      </c>
      <c r="D25" s="8" t="s">
        <v>180</v>
      </c>
      <c r="E25" s="11" t="n">
        <f aca="false">12_Ertragsrechnung!$N$24</f>
        <v>140313.6</v>
      </c>
      <c r="F25" s="47" t="n">
        <f aca="false">INDEX(08_Annahmen!$K$22:$K$29,MATCH($D25,08_Annahmen!$B$22:$B$29,0))</f>
        <v>0.045</v>
      </c>
      <c r="G25" s="62" t="n">
        <f aca="false">$E25/$F25</f>
        <v>3118080</v>
      </c>
      <c r="H25" s="34" t="n">
        <f aca="false">$G25/$G$26</f>
        <v>0.0192151071962725</v>
      </c>
      <c r="I25" s="87" t="str">
        <f aca="false">IF(12_Ertragsrechnung!$E24="—","—",IF(12_Ertragsrechnung!$E24=0,0,$G25/12_Ertragsrechnung!$E24))</f>
        <v>—</v>
      </c>
      <c r="J25" s="28" t="n">
        <f aca="false">IF(SUMIFS($G$8:$G$25,$D$8:$D$25,$D25)=0,0,$G25*INDEX(14_DCF!$N$8:$N$15,MATCH($D25,14_DCF!$B$8:$B$15,0))/SUMIFS($G$8:$G$25,$D$8:$D$25,$D25))</f>
        <v>2973918.16923186</v>
      </c>
      <c r="K25" s="34" t="n">
        <f aca="false">IF($G25=0,0,$J25/$G25-1)</f>
        <v>-0.0462341667847316</v>
      </c>
    </row>
    <row r="26" customFormat="false" ht="15" hidden="false" customHeight="false" outlineLevel="0" collapsed="false">
      <c r="B26" s="20" t="s">
        <v>49</v>
      </c>
      <c r="C26" s="20"/>
      <c r="D26" s="20"/>
      <c r="E26" s="23" t="n">
        <f aca="false">SUM(E8:E25)</f>
        <v>6632650.29775532</v>
      </c>
      <c r="F26" s="46" t="n">
        <f aca="false">E26/G26</f>
        <v>0.0408735781207529</v>
      </c>
      <c r="G26" s="23" t="n">
        <f aca="false">SUM(G8:G25)</f>
        <v>162272318.762024</v>
      </c>
      <c r="H26" s="54" t="n">
        <f aca="false">SUM(H8:H25)</f>
        <v>1</v>
      </c>
      <c r="I26" s="23" t="n">
        <f aca="false">G26/12_Ertragsrechnung!$E$25</f>
        <v>7300.35309873288</v>
      </c>
      <c r="J26" s="23" t="n">
        <f aca="false">SUM(J8:J25)</f>
        <v>154087675.77664</v>
      </c>
      <c r="K26" s="54" t="n">
        <f aca="false">J26/G26-1</f>
        <v>-0.0504377027938296</v>
      </c>
    </row>
    <row r="29" customFormat="false" ht="15" hidden="false" customHeight="false" outlineLevel="0" collapsed="false">
      <c r="B29" s="5" t="s">
        <v>515</v>
      </c>
    </row>
    <row r="30" customFormat="false" ht="30" hidden="false" customHeight="true" outlineLevel="0" collapsed="false">
      <c r="B30" s="6" t="s">
        <v>39</v>
      </c>
      <c r="C30" s="6" t="s">
        <v>226</v>
      </c>
      <c r="D30" s="7" t="s">
        <v>40</v>
      </c>
      <c r="E30" s="7" t="s">
        <v>41</v>
      </c>
      <c r="F30" s="7" t="s">
        <v>42</v>
      </c>
      <c r="G30" s="7" t="s">
        <v>43</v>
      </c>
      <c r="H30" s="7" t="s">
        <v>44</v>
      </c>
      <c r="I30" s="7" t="s">
        <v>398</v>
      </c>
      <c r="J30" s="7" t="s">
        <v>512</v>
      </c>
      <c r="K30" s="7" t="s">
        <v>516</v>
      </c>
    </row>
    <row r="31" customFormat="false" ht="15" hidden="false" customHeight="false" outlineLevel="0" collapsed="false">
      <c r="B31" s="8" t="s">
        <v>234</v>
      </c>
      <c r="C31" s="8" t="s">
        <v>235</v>
      </c>
      <c r="D31" s="28" t="n">
        <f aca="false">SUMIFS(12_Ertragsrechnung!$E$7:$E$24,12_Ertragsrechnung!$B$7:$B$24,$B31)</f>
        <v>3614.4</v>
      </c>
      <c r="E31" s="28" t="n">
        <f aca="false">SUMIFS(12_Ertragsrechnung!$H$7:$H$24,12_Ertragsrechnung!$B$7:$B$24,$B31)</f>
        <v>1207226.48911584</v>
      </c>
      <c r="F31" s="28" t="n">
        <f aca="false">SUMIFS(12_Ertragsrechnung!$N$7:$N$24,12_Ertragsrechnung!$B$7:$B$24,$B31)</f>
        <v>1027755.31574846</v>
      </c>
      <c r="G31" s="62" t="n">
        <f aca="false">SUMIFS($G$8:$G$25,$B$8:$B$25,$B31)</f>
        <v>29723702.2278959</v>
      </c>
      <c r="H31" s="47" t="n">
        <f aca="false">$E31/$G31</f>
        <v>0.0406149435847479</v>
      </c>
      <c r="I31" s="47" t="n">
        <f aca="false">$F31/$G31</f>
        <v>0.0345769617751017</v>
      </c>
      <c r="J31" s="28" t="n">
        <f aca="false">$G31/$D31</f>
        <v>8223.68919541167</v>
      </c>
      <c r="K31" s="28" t="n">
        <f aca="false">SUMIFS($J$8:$J$25,$B$8:$B$25,$B31)</f>
        <v>28268636.3655641</v>
      </c>
    </row>
    <row r="32" customFormat="false" ht="15" hidden="false" customHeight="false" outlineLevel="0" collapsed="false">
      <c r="B32" s="8" t="s">
        <v>236</v>
      </c>
      <c r="C32" s="8" t="s">
        <v>237</v>
      </c>
      <c r="D32" s="28" t="n">
        <f aca="false">SUMIFS(12_Ertragsrechnung!$E$7:$E$24,12_Ertragsrechnung!$B$7:$B$24,$B32)</f>
        <v>4921.5996</v>
      </c>
      <c r="E32" s="28" t="n">
        <f aca="false">SUMIFS(12_Ertragsrechnung!$H$7:$H$24,12_Ertragsrechnung!$B$7:$B$24,$B32)</f>
        <v>2174757.9934159</v>
      </c>
      <c r="F32" s="28" t="n">
        <f aca="false">SUMIFS(12_Ertragsrechnung!$N$7:$N$24,12_Ertragsrechnung!$B$7:$B$24,$B32)</f>
        <v>1628423.28778765</v>
      </c>
      <c r="G32" s="62" t="n">
        <f aca="false">SUMIFS($G$8:$G$25,$B$8:$B$25,$B32)</f>
        <v>35847176.0465718</v>
      </c>
      <c r="H32" s="47" t="n">
        <f aca="false">$E32/$G32</f>
        <v>0.0606674843951586</v>
      </c>
      <c r="I32" s="47" t="n">
        <f aca="false">$F32/$G32</f>
        <v>0.0454268220646459</v>
      </c>
      <c r="J32" s="28" t="n">
        <f aca="false">$G32/$D32</f>
        <v>7283.64331925169</v>
      </c>
      <c r="K32" s="28" t="n">
        <f aca="false">SUMIFS($J$8:$J$25,$B$8:$B$25,$B32)</f>
        <v>33931893.6333775</v>
      </c>
    </row>
    <row r="33" customFormat="false" ht="15" hidden="false" customHeight="false" outlineLevel="0" collapsed="false">
      <c r="B33" s="8" t="s">
        <v>238</v>
      </c>
      <c r="C33" s="8" t="s">
        <v>239</v>
      </c>
      <c r="D33" s="28" t="n">
        <f aca="false">SUMIFS(12_Ertragsrechnung!$E$7:$E$24,12_Ertragsrechnung!$B$7:$B$24,$B33)</f>
        <v>6442.81</v>
      </c>
      <c r="E33" s="28" t="n">
        <f aca="false">SUMIFS(12_Ertragsrechnung!$H$7:$H$24,12_Ertragsrechnung!$B$7:$B$24,$B33)</f>
        <v>2450135.89330668</v>
      </c>
      <c r="F33" s="28" t="n">
        <f aca="false">SUMIFS(12_Ertragsrechnung!$N$7:$N$24,12_Ertragsrechnung!$B$7:$B$24,$B33)</f>
        <v>1913970.83036843</v>
      </c>
      <c r="G33" s="62" t="n">
        <f aca="false">SUMIFS($G$8:$G$25,$B$8:$B$25,$B33)</f>
        <v>37048440.9625339</v>
      </c>
      <c r="H33" s="47" t="n">
        <f aca="false">$E33/$G33</f>
        <v>0.0661333062782437</v>
      </c>
      <c r="I33" s="47" t="n">
        <f aca="false">$F33/$G33</f>
        <v>0.0516613055945858</v>
      </c>
      <c r="J33" s="28" t="n">
        <f aca="false">$G33/$D33</f>
        <v>5750.35442028151</v>
      </c>
      <c r="K33" s="28" t="n">
        <f aca="false">SUMIFS($J$8:$J$25,$B$8:$B$25,$B33)</f>
        <v>35154373.4254442</v>
      </c>
    </row>
    <row r="34" customFormat="false" ht="15" hidden="false" customHeight="false" outlineLevel="0" collapsed="false">
      <c r="B34" s="8" t="s">
        <v>240</v>
      </c>
      <c r="C34" s="8" t="s">
        <v>241</v>
      </c>
      <c r="D34" s="28" t="n">
        <f aca="false">SUMIFS(12_Ertragsrechnung!$E$7:$E$24,12_Ertragsrechnung!$B$7:$B$24,$B34)</f>
        <v>7249.2</v>
      </c>
      <c r="E34" s="28" t="n">
        <f aca="false">SUMIFS(12_Ertragsrechnung!$H$7:$H$24,12_Ertragsrechnung!$B$7:$B$24,$B34)</f>
        <v>2422676.7810009</v>
      </c>
      <c r="F34" s="28" t="n">
        <f aca="false">SUMIFS(12_Ertragsrechnung!$N$7:$N$24,12_Ertragsrechnung!$B$7:$B$24,$B34)</f>
        <v>2062500.86385077</v>
      </c>
      <c r="G34" s="62" t="n">
        <f aca="false">SUMIFS($G$8:$G$25,$B$8:$B$25,$B34)</f>
        <v>59652999.5250226</v>
      </c>
      <c r="H34" s="47" t="n">
        <f aca="false">$E34/$G34</f>
        <v>0.0406128241713087</v>
      </c>
      <c r="I34" s="47" t="n">
        <f aca="false">$F34/$G34</f>
        <v>0.0345749732666102</v>
      </c>
      <c r="J34" s="28" t="n">
        <f aca="false">$G34/$D34</f>
        <v>8228.90795191505</v>
      </c>
      <c r="K34" s="28" t="n">
        <f aca="false">SUMIFS($J$8:$J$25,$B$8:$B$25,$B34)</f>
        <v>56732772.352254</v>
      </c>
    </row>
    <row r="35" customFormat="false" ht="15" hidden="false" customHeight="false" outlineLevel="0" collapsed="false">
      <c r="B35" s="20" t="s">
        <v>49</v>
      </c>
      <c r="C35" s="20"/>
      <c r="D35" s="23" t="n">
        <f aca="false">SUM(D31:D34)</f>
        <v>22228.0096</v>
      </c>
      <c r="E35" s="23" t="n">
        <f aca="false">SUM(E31:E34)</f>
        <v>8254797.15683932</v>
      </c>
      <c r="F35" s="23" t="n">
        <f aca="false">SUM(F31:F34)</f>
        <v>6632650.29775532</v>
      </c>
      <c r="G35" s="23" t="n">
        <f aca="false">SUM(G31:G34)</f>
        <v>162272318.762024</v>
      </c>
      <c r="H35" s="46" t="n">
        <f aca="false">$E35/$G35</f>
        <v>0.050870026507387</v>
      </c>
      <c r="I35" s="46" t="n">
        <f aca="false">$F35/$G35</f>
        <v>0.0408735781207529</v>
      </c>
      <c r="J35" s="23" t="n">
        <f aca="false">$G35/$D35</f>
        <v>7300.35309873288</v>
      </c>
      <c r="K35" s="23" t="n">
        <f aca="false">SUM(K31:K34)</f>
        <v>154087675.77664</v>
      </c>
    </row>
    <row r="38" customFormat="false" ht="15" hidden="false" customHeight="false" outlineLevel="0" collapsed="false">
      <c r="B38" s="5" t="s">
        <v>517</v>
      </c>
    </row>
    <row r="39" customFormat="false" ht="30" hidden="false" customHeight="true" outlineLevel="0" collapsed="false">
      <c r="B39" s="6" t="s">
        <v>485</v>
      </c>
      <c r="C39" s="6" t="s">
        <v>73</v>
      </c>
      <c r="D39" s="7" t="s">
        <v>40</v>
      </c>
      <c r="E39" s="7" t="s">
        <v>41</v>
      </c>
      <c r="F39" s="7" t="s">
        <v>42</v>
      </c>
      <c r="G39" s="7" t="s">
        <v>43</v>
      </c>
      <c r="H39" s="7" t="s">
        <v>44</v>
      </c>
      <c r="I39" s="7" t="s">
        <v>398</v>
      </c>
      <c r="J39" s="7" t="s">
        <v>512</v>
      </c>
      <c r="K39" s="7" t="s">
        <v>516</v>
      </c>
    </row>
    <row r="40" customFormat="false" ht="15" hidden="false" customHeight="false" outlineLevel="0" collapsed="false">
      <c r="B40" s="8" t="s">
        <v>92</v>
      </c>
      <c r="C40" s="8" t="s">
        <v>91</v>
      </c>
      <c r="D40" s="28" t="n">
        <f aca="false">SUMIFS(12_Ertragsrechnung!$E$7:$E$24,12_Ertragsrechnung!$C$7:$C$24,$B40)</f>
        <v>3614.4</v>
      </c>
      <c r="E40" s="28" t="n">
        <f aca="false">SUMIFS(12_Ertragsrechnung!$H$7:$H$24,12_Ertragsrechnung!$C$7:$C$24,$B40)</f>
        <v>1207226.48911584</v>
      </c>
      <c r="F40" s="28" t="n">
        <f aca="false">SUMIFS(12_Ertragsrechnung!$N$7:$N$24,12_Ertragsrechnung!$C$7:$C$24,$B40)</f>
        <v>1027755.31574846</v>
      </c>
      <c r="G40" s="62" t="n">
        <f aca="false">SUMIFS($G$8:$G$25,$C$8:$C$25,$B40)</f>
        <v>29723702.2278959</v>
      </c>
      <c r="H40" s="47" t="n">
        <f aca="false">$E40/$G40</f>
        <v>0.0406149435847479</v>
      </c>
      <c r="I40" s="47" t="n">
        <f aca="false">$F40/$G40</f>
        <v>0.0345769617751017</v>
      </c>
      <c r="J40" s="28" t="n">
        <f aca="false">$G40/$D40</f>
        <v>8223.68919541167</v>
      </c>
      <c r="K40" s="28" t="n">
        <f aca="false">SUMIFS($J$8:$J$25,$C$8:$C$25,$B40)</f>
        <v>28268636.3655641</v>
      </c>
    </row>
    <row r="41" customFormat="false" ht="15" hidden="false" customHeight="false" outlineLevel="0" collapsed="false">
      <c r="B41" s="8" t="s">
        <v>94</v>
      </c>
      <c r="C41" s="8" t="s">
        <v>93</v>
      </c>
      <c r="D41" s="28" t="n">
        <f aca="false">SUMIFS(12_Ertragsrechnung!$E$7:$E$24,12_Ertragsrechnung!$C$7:$C$24,$B41)</f>
        <v>800.86</v>
      </c>
      <c r="E41" s="28" t="n">
        <f aca="false">SUMIFS(12_Ertragsrechnung!$H$7:$H$24,12_Ertragsrechnung!$C$7:$C$24,$B41)</f>
        <v>289895.02170814</v>
      </c>
      <c r="F41" s="28" t="n">
        <f aca="false">SUMIFS(12_Ertragsrechnung!$N$7:$N$24,12_Ertragsrechnung!$C$7:$C$24,$B41)</f>
        <v>241361.668017756</v>
      </c>
      <c r="G41" s="62" t="n">
        <f aca="false">SUMIFS($G$8:$G$25,$C$8:$C$25,$B41)</f>
        <v>6284953.36888832</v>
      </c>
      <c r="H41" s="47" t="n">
        <f aca="false">$E41/$G41</f>
        <v>0.0461252462338343</v>
      </c>
      <c r="I41" s="47" t="n">
        <f aca="false">$F41/$G41</f>
        <v>0.0384030960695016</v>
      </c>
      <c r="J41" s="28" t="n">
        <f aca="false">$G41/$D41</f>
        <v>7847.75537408326</v>
      </c>
      <c r="K41" s="28" t="n">
        <f aca="false">SUMIFS($J$8:$J$25,$C$8:$C$25,$B41)</f>
        <v>5970879.75009995</v>
      </c>
    </row>
    <row r="42" customFormat="false" ht="15" hidden="false" customHeight="false" outlineLevel="0" collapsed="false">
      <c r="B42" s="8" t="s">
        <v>96</v>
      </c>
      <c r="C42" s="8" t="s">
        <v>95</v>
      </c>
      <c r="D42" s="28" t="n">
        <f aca="false">SUMIFS(12_Ertragsrechnung!$E$7:$E$24,12_Ertragsrechnung!$C$7:$C$24,$B42)</f>
        <v>7249.2</v>
      </c>
      <c r="E42" s="28" t="n">
        <f aca="false">SUMIFS(12_Ertragsrechnung!$H$7:$H$24,12_Ertragsrechnung!$C$7:$C$24,$B42)</f>
        <v>2422676.7810009</v>
      </c>
      <c r="F42" s="28" t="n">
        <f aca="false">SUMIFS(12_Ertragsrechnung!$N$7:$N$24,12_Ertragsrechnung!$C$7:$C$24,$B42)</f>
        <v>2062500.86385077</v>
      </c>
      <c r="G42" s="62" t="n">
        <f aca="false">SUMIFS($G$8:$G$25,$C$8:$C$25,$B42)</f>
        <v>59652999.5250226</v>
      </c>
      <c r="H42" s="47" t="n">
        <f aca="false">$E42/$G42</f>
        <v>0.0406128241713087</v>
      </c>
      <c r="I42" s="47" t="n">
        <f aca="false">$F42/$G42</f>
        <v>0.0345749732666102</v>
      </c>
      <c r="J42" s="28" t="n">
        <f aca="false">$G42/$D42</f>
        <v>8228.90795191505</v>
      </c>
      <c r="K42" s="28" t="n">
        <f aca="false">SUMIFS($J$8:$J$25,$C$8:$C$25,$B42)</f>
        <v>56732772.352254</v>
      </c>
    </row>
    <row r="43" customFormat="false" ht="15" hidden="false" customHeight="false" outlineLevel="0" collapsed="false">
      <c r="B43" s="30" t="s">
        <v>97</v>
      </c>
      <c r="C43" s="29" t="s">
        <v>93</v>
      </c>
      <c r="D43" s="32" t="n">
        <f aca="false">SUMIFS(12_Ertragsrechnung!$E$7:$E$24,12_Ertragsrechnung!$C$7:$C$24,$B43)</f>
        <v>4120.7396</v>
      </c>
      <c r="E43" s="32" t="n">
        <f aca="false">SUMIFS(12_Ertragsrechnung!$H$7:$H$24,12_Ertragsrechnung!$C$7:$C$24,$B43)</f>
        <v>1884862.97170776</v>
      </c>
      <c r="F43" s="32" t="n">
        <f aca="false">SUMIFS(12_Ertragsrechnung!$N$7:$N$24,12_Ertragsrechnung!$C$7:$C$24,$B43)</f>
        <v>1387061.6197699</v>
      </c>
      <c r="G43" s="63" t="n">
        <f aca="false">SUMIFS($G$8:$G$25,$C$8:$C$25,$B43)</f>
        <v>29562222.6776835</v>
      </c>
      <c r="H43" s="88" t="n">
        <f aca="false">$E43/$G43</f>
        <v>0.0637591764414468</v>
      </c>
      <c r="I43" s="88" t="n">
        <f aca="false">$F43/$G43</f>
        <v>0.0469200721100376</v>
      </c>
      <c r="J43" s="32" t="n">
        <f aca="false">$G43/$D43</f>
        <v>7174.00892734971</v>
      </c>
      <c r="K43" s="32" t="n">
        <f aca="false">SUMIFS($J$8:$J$25,$C$8:$C$25,$B43)</f>
        <v>27961013.8832775</v>
      </c>
    </row>
    <row r="44" customFormat="false" ht="15" hidden="false" customHeight="false" outlineLevel="0" collapsed="false">
      <c r="B44" s="8" t="s">
        <v>99</v>
      </c>
      <c r="C44" s="8" t="s">
        <v>98</v>
      </c>
      <c r="D44" s="28" t="n">
        <f aca="false">SUMIFS(12_Ertragsrechnung!$E$7:$E$24,12_Ertragsrechnung!$C$7:$C$24,$B44)</f>
        <v>3902.53</v>
      </c>
      <c r="E44" s="28" t="n">
        <f aca="false">SUMIFS(12_Ertragsrechnung!$H$7:$H$24,12_Ertragsrechnung!$C$7:$C$24,$B44)</f>
        <v>1483576.25869427</v>
      </c>
      <c r="F44" s="28" t="n">
        <f aca="false">SUMIFS(12_Ertragsrechnung!$N$7:$N$24,12_Ertragsrechnung!$C$7:$C$24,$B44)</f>
        <v>1158307.06536322</v>
      </c>
      <c r="G44" s="62" t="n">
        <f aca="false">SUMIFS($G$8:$G$25,$C$8:$C$25,$B44)</f>
        <v>22429638.4338882</v>
      </c>
      <c r="H44" s="47" t="n">
        <f aca="false">$E44/$G44</f>
        <v>0.0661435654911307</v>
      </c>
      <c r="I44" s="47" t="n">
        <f aca="false">$F44/$G44</f>
        <v>0.0516418072800126</v>
      </c>
      <c r="J44" s="28" t="n">
        <f aca="false">$G44/$D44</f>
        <v>5747.46086100253</v>
      </c>
      <c r="K44" s="28" t="n">
        <f aca="false">SUMIFS($J$8:$J$25,$C$8:$C$25,$B44)</f>
        <v>21282511.4143842</v>
      </c>
    </row>
    <row r="45" customFormat="false" ht="15" hidden="false" customHeight="false" outlineLevel="0" collapsed="false">
      <c r="B45" s="8" t="s">
        <v>100</v>
      </c>
      <c r="C45" s="8" t="s">
        <v>98</v>
      </c>
      <c r="D45" s="28" t="n">
        <f aca="false">SUMIFS(12_Ertragsrechnung!$E$7:$E$24,12_Ertragsrechnung!$C$7:$C$24,$B45)</f>
        <v>2540.28</v>
      </c>
      <c r="E45" s="28" t="n">
        <f aca="false">SUMIFS(12_Ertragsrechnung!$H$7:$H$24,12_Ertragsrechnung!$C$7:$C$24,$B45)</f>
        <v>966559.634612416</v>
      </c>
      <c r="F45" s="28" t="n">
        <f aca="false">SUMIFS(12_Ertragsrechnung!$N$7:$N$24,12_Ertragsrechnung!$C$7:$C$24,$B45)</f>
        <v>755663.765005213</v>
      </c>
      <c r="G45" s="62" t="n">
        <f aca="false">SUMIFS($G$8:$G$25,$C$8:$C$25,$B45)</f>
        <v>14618802.5286457</v>
      </c>
      <c r="H45" s="47" t="n">
        <f aca="false">$E45/$G45</f>
        <v>0.0661175655610939</v>
      </c>
      <c r="I45" s="47" t="n">
        <f aca="false">$F45/$G45</f>
        <v>0.051691221871592</v>
      </c>
      <c r="J45" s="28" t="n">
        <f aca="false">$G45/$D45</f>
        <v>5754.79967902975</v>
      </c>
      <c r="K45" s="28" t="n">
        <f aca="false">SUMIFS($J$8:$J$25,$C$8:$C$25,$B45)</f>
        <v>13871862.01106</v>
      </c>
    </row>
    <row r="46" customFormat="false" ht="15" hidden="false" customHeight="false" outlineLevel="0" collapsed="false">
      <c r="B46" s="20" t="s">
        <v>49</v>
      </c>
      <c r="C46" s="20"/>
      <c r="D46" s="23" t="n">
        <f aca="false">SUM(D40:D45)</f>
        <v>22228.0096</v>
      </c>
      <c r="E46" s="23" t="n">
        <f aca="false">SUM(E40:E45)</f>
        <v>8254797.15683932</v>
      </c>
      <c r="F46" s="23" t="n">
        <f aca="false">SUM(F40:F45)</f>
        <v>6632650.29775532</v>
      </c>
      <c r="G46" s="23" t="n">
        <f aca="false">SUM(G40:G45)</f>
        <v>162272318.762024</v>
      </c>
      <c r="H46" s="46" t="n">
        <f aca="false">$E46/$G46</f>
        <v>0.050870026507387</v>
      </c>
      <c r="I46" s="46" t="n">
        <f aca="false">$F46/$G46</f>
        <v>0.0408735781207529</v>
      </c>
      <c r="J46" s="23" t="n">
        <f aca="false">$G46/$D46</f>
        <v>7300.35309873288</v>
      </c>
      <c r="K46" s="23" t="n">
        <f aca="false">SUM(K40:K45)</f>
        <v>154087675.77664</v>
      </c>
    </row>
    <row r="49" customFormat="false" ht="15" hidden="false" customHeight="false" outlineLevel="0" collapsed="false">
      <c r="B49" s="5" t="s">
        <v>518</v>
      </c>
    </row>
    <row r="50" customFormat="false" ht="30" hidden="false" customHeight="true" outlineLevel="0" collapsed="false">
      <c r="B50" s="6" t="s">
        <v>103</v>
      </c>
      <c r="C50" s="7" t="s">
        <v>40</v>
      </c>
      <c r="D50" s="7" t="s">
        <v>105</v>
      </c>
      <c r="E50" s="7" t="s">
        <v>500</v>
      </c>
      <c r="F50" s="7" t="s">
        <v>41</v>
      </c>
      <c r="G50" s="7" t="s">
        <v>42</v>
      </c>
      <c r="H50" s="7" t="s">
        <v>43</v>
      </c>
      <c r="I50" s="7" t="s">
        <v>519</v>
      </c>
      <c r="J50" s="7" t="s">
        <v>54</v>
      </c>
      <c r="K50" s="7" t="s">
        <v>516</v>
      </c>
    </row>
    <row r="51" customFormat="false" ht="15" hidden="false" customHeight="false" outlineLevel="0" collapsed="false">
      <c r="B51" s="8" t="s">
        <v>106</v>
      </c>
      <c r="C51" s="28" t="n">
        <f aca="false">SUMIFS(12_Ertragsrechnung!$E$7:$E$24,12_Ertragsrechnung!$D$7:$D$24,$B51)</f>
        <v>10863.6</v>
      </c>
      <c r="D51" s="34" t="n">
        <f aca="false">$C51/$C$59</f>
        <v>0.488734717839964</v>
      </c>
      <c r="E51" s="90" t="n">
        <f aca="false">IF($C51=0,"—",$F51/$C51)</f>
        <v>311.865612698989</v>
      </c>
      <c r="F51" s="28" t="n">
        <f aca="false">SUMIFS(12_Ertragsrechnung!$H$7:$H$24,12_Ertragsrechnung!$D$7:$D$24,$B51)</f>
        <v>3387983.27011674</v>
      </c>
      <c r="G51" s="28" t="n">
        <f aca="false">SUMIFS(12_Ertragsrechnung!$N$7:$N$24,12_Ertragsrechnung!$D$7:$D$24,$B51)</f>
        <v>2879785.77959923</v>
      </c>
      <c r="H51" s="62" t="n">
        <f aca="false">SUMIFS($G$8:$G$25,$D$8:$D$25,$B51)</f>
        <v>84699581.7529185</v>
      </c>
      <c r="I51" s="34" t="n">
        <f aca="false">$H51/$H$59</f>
        <v>0.521959520878803</v>
      </c>
      <c r="J51" s="47" t="n">
        <f aca="false">INDEX(08_Annahmen!$K$22:$K$29,MATCH($B51,08_Annahmen!$B$22:$B$29,0))</f>
        <v>0.034</v>
      </c>
      <c r="K51" s="28" t="n">
        <f aca="false">INDEX(14_DCF!$N$8:$N$15,MATCH($B51,14_DCF!$B$8:$B$15,0))</f>
        <v>80540531.4639702</v>
      </c>
    </row>
    <row r="52" customFormat="false" ht="15" hidden="false" customHeight="false" outlineLevel="0" collapsed="false">
      <c r="B52" s="8" t="s">
        <v>196</v>
      </c>
      <c r="C52" s="28" t="n">
        <f aca="false">SUMIFS(12_Ertragsrechnung!$E$7:$E$24,12_Ertragsrechnung!$D$7:$D$24,$B52)</f>
        <v>2576.1796</v>
      </c>
      <c r="D52" s="34" t="n">
        <f aca="false">$C52/$C$59</f>
        <v>0.115897898478503</v>
      </c>
      <c r="E52" s="90" t="n">
        <f aca="false">IF($C52=0,"—",$F52/$C52)</f>
        <v>382.816540471192</v>
      </c>
      <c r="F52" s="28" t="n">
        <f aca="false">SUMIFS(12_Ertragsrechnung!$H$7:$H$24,12_Ertragsrechnung!$D$7:$D$24,$B52)</f>
        <v>986204.162104458</v>
      </c>
      <c r="G52" s="28" t="n">
        <f aca="false">SUMIFS(12_Ertragsrechnung!$N$7:$N$24,12_Ertragsrechnung!$D$7:$D$24,$B52)</f>
        <v>818549.4545467</v>
      </c>
      <c r="H52" s="62" t="n">
        <f aca="false">SUMIFS($G$8:$G$25,$D$8:$D$25,$B52)</f>
        <v>21540775.11965</v>
      </c>
      <c r="I52" s="34" t="n">
        <f aca="false">$H52/$H$59</f>
        <v>0.132744606621663</v>
      </c>
      <c r="J52" s="47" t="n">
        <f aca="false">INDEX(08_Annahmen!$K$22:$K$29,MATCH($B52,08_Annahmen!$B$22:$B$29,0))</f>
        <v>0.038</v>
      </c>
      <c r="K52" s="28" t="n">
        <f aca="false">INDEX(14_DCF!$N$8:$N$15,MATCH($B52,14_DCF!$B$8:$B$15,0))</f>
        <v>20459412.6649418</v>
      </c>
    </row>
    <row r="53" customFormat="false" ht="15" hidden="false" customHeight="false" outlineLevel="0" collapsed="false">
      <c r="B53" s="8" t="s">
        <v>218</v>
      </c>
      <c r="C53" s="28" t="n">
        <f aca="false">SUMIFS(12_Ertragsrechnung!$E$7:$E$24,12_Ertragsrechnung!$D$7:$D$24,$B53)</f>
        <v>2017.96</v>
      </c>
      <c r="D53" s="34" t="n">
        <f aca="false">$C53/$C$59</f>
        <v>0.0907845567963044</v>
      </c>
      <c r="E53" s="90" t="n">
        <f aca="false">IF($C53=0,"—",$F53/$C53)</f>
        <v>605.285347091698</v>
      </c>
      <c r="F53" s="28" t="n">
        <f aca="false">SUMIFS(12_Ertragsrechnung!$H$7:$H$24,12_Ertragsrechnung!$D$7:$D$24,$B53)</f>
        <v>1221441.61901716</v>
      </c>
      <c r="G53" s="28" t="n">
        <f aca="false">SUMIFS(12_Ertragsrechnung!$N$7:$N$24,12_Ertragsrechnung!$D$7:$D$24,$B53)</f>
        <v>855009.133312014</v>
      </c>
      <c r="H53" s="62" t="n">
        <f aca="false">SUMIFS($G$8:$G$25,$D$8:$D$25,$B53)</f>
        <v>16442483.3329233</v>
      </c>
      <c r="I53" s="34" t="n">
        <f aca="false">$H53/$H$59</f>
        <v>0.101326482904559</v>
      </c>
      <c r="J53" s="47" t="n">
        <f aca="false">INDEX(08_Annahmen!$K$22:$K$29,MATCH($B53,08_Annahmen!$B$22:$B$29,0))</f>
        <v>0.052</v>
      </c>
      <c r="K53" s="28" t="n">
        <f aca="false">INDEX(14_DCF!$N$8:$N$15,MATCH($B53,14_DCF!$B$8:$B$15,0))</f>
        <v>15535533.1743384</v>
      </c>
    </row>
    <row r="54" customFormat="false" ht="15" hidden="false" customHeight="false" outlineLevel="0" collapsed="false">
      <c r="B54" s="8" t="s">
        <v>130</v>
      </c>
      <c r="C54" s="28" t="n">
        <f aca="false">SUMIFS(12_Ertragsrechnung!$E$7:$E$24,12_Ertragsrechnung!$D$7:$D$24,$B54)</f>
        <v>1814.36</v>
      </c>
      <c r="D54" s="34" t="n">
        <f aca="false">$C54/$C$59</f>
        <v>0.0816249422530392</v>
      </c>
      <c r="E54" s="90" t="n">
        <f aca="false">IF($C54=0,"—",$F54/$C54)</f>
        <v>275.643245427186</v>
      </c>
      <c r="F54" s="28" t="n">
        <f aca="false">SUMIFS(12_Ertragsrechnung!$H$7:$H$24,12_Ertragsrechnung!$D$7:$D$24,$B54)</f>
        <v>500116.078773269</v>
      </c>
      <c r="G54" s="28" t="n">
        <f aca="false">SUMIFS(12_Ertragsrechnung!$N$7:$N$24,12_Ertragsrechnung!$D$7:$D$24,$B54)</f>
        <v>425098.666957278</v>
      </c>
      <c r="H54" s="62" t="n">
        <f aca="false">SUMIFS($G$8:$G$25,$D$8:$D$25,$B54)</f>
        <v>8335267.97955448</v>
      </c>
      <c r="I54" s="34" t="n">
        <f aca="false">$H54/$H$59</f>
        <v>0.051365926383158</v>
      </c>
      <c r="J54" s="47" t="n">
        <f aca="false">INDEX(08_Annahmen!$K$22:$K$29,MATCH($B54,08_Annahmen!$B$22:$B$29,0))</f>
        <v>0.051</v>
      </c>
      <c r="K54" s="28" t="n">
        <f aca="false">INDEX(14_DCF!$N$8:$N$15,MATCH($B54,14_DCF!$B$8:$B$15,0))</f>
        <v>7917137.43235768</v>
      </c>
    </row>
    <row r="55" customFormat="false" ht="15" hidden="false" customHeight="false" outlineLevel="0" collapsed="false">
      <c r="B55" s="8" t="s">
        <v>107</v>
      </c>
      <c r="C55" s="28" t="n">
        <f aca="false">SUMIFS(12_Ertragsrechnung!$E$7:$E$24,12_Ertragsrechnung!$D$7:$D$24,$B55)</f>
        <v>3942.25</v>
      </c>
      <c r="D55" s="34" t="n">
        <f aca="false">$C55/$C$59</f>
        <v>0.177355061066736</v>
      </c>
      <c r="E55" s="90" t="n">
        <f aca="false">IF($C55=0,"—",$F55/$C55)</f>
        <v>173.029565052367</v>
      </c>
      <c r="F55" s="28" t="n">
        <f aca="false">SUMIFS(12_Ertragsrechnung!$H$7:$H$24,12_Ertragsrechnung!$D$7:$D$24,$B55)</f>
        <v>682125.802827693</v>
      </c>
      <c r="G55" s="28" t="n">
        <f aca="false">SUMIFS(12_Ertragsrechnung!$N$7:$N$24,12_Ertragsrechnung!$D$7:$D$24,$B55)</f>
        <v>593449.448460093</v>
      </c>
      <c r="H55" s="62" t="n">
        <f aca="false">SUMIFS($G$8:$G$25,$D$8:$D$25,$B55)</f>
        <v>10597311.5796445</v>
      </c>
      <c r="I55" s="34" t="n">
        <f aca="false">$H55/$H$59</f>
        <v>0.0653057259580157</v>
      </c>
      <c r="J55" s="47" t="n">
        <f aca="false">INDEX(08_Annahmen!$K$22:$K$29,MATCH($B55,08_Annahmen!$B$22:$B$29,0))</f>
        <v>0.056</v>
      </c>
      <c r="K55" s="28" t="n">
        <f aca="false">INDEX(14_DCF!$N$8:$N$15,MATCH($B55,14_DCF!$B$8:$B$15,0))</f>
        <v>10104982.2270278</v>
      </c>
    </row>
    <row r="56" customFormat="false" ht="15" hidden="false" customHeight="false" outlineLevel="0" collapsed="false">
      <c r="B56" s="8" t="s">
        <v>180</v>
      </c>
      <c r="C56" s="28" t="n">
        <f aca="false">SUMIFS(12_Ertragsrechnung!$E$7:$E$24,12_Ertragsrechnung!$D$7:$D$24,$B56)</f>
        <v>0</v>
      </c>
      <c r="D56" s="34" t="n">
        <f aca="false">$C56/$C$59</f>
        <v>0</v>
      </c>
      <c r="E56" s="90" t="str">
        <f aca="false">IF($C56=0,"—",$F56/$C56)</f>
        <v>—</v>
      </c>
      <c r="F56" s="28" t="n">
        <f aca="false">SUMIFS(12_Ertragsrechnung!$H$7:$H$24,12_Ertragsrechnung!$D$7:$D$24,$B56)</f>
        <v>511246.224</v>
      </c>
      <c r="G56" s="28" t="n">
        <f aca="false">SUMIFS(12_Ertragsrechnung!$N$7:$N$24,12_Ertragsrechnung!$D$7:$D$24,$B56)</f>
        <v>444784.21488</v>
      </c>
      <c r="H56" s="62" t="n">
        <f aca="false">SUMIFS($G$8:$G$25,$D$8:$D$25,$B56)</f>
        <v>9884093.664</v>
      </c>
      <c r="I56" s="34" t="n">
        <f aca="false">$H56/$H$59</f>
        <v>0.0609105344608727</v>
      </c>
      <c r="J56" s="47" t="n">
        <f aca="false">INDEX(08_Annahmen!$K$22:$K$29,MATCH($B56,08_Annahmen!$B$22:$B$29,0))</f>
        <v>0.045</v>
      </c>
      <c r="K56" s="28" t="n">
        <f aca="false">INDEX(14_DCF!$N$8:$N$15,MATCH($B56,14_DCF!$B$8:$B$15,0))</f>
        <v>9427110.82902272</v>
      </c>
    </row>
    <row r="57" customFormat="false" ht="15" hidden="false" customHeight="false" outlineLevel="0" collapsed="false">
      <c r="B57" s="12" t="s">
        <v>197</v>
      </c>
      <c r="C57" s="28" t="n">
        <f aca="false">SUMIFS(12_Ertragsrechnung!$E$7:$E$24,12_Ertragsrechnung!$D$7:$D$24,$B57)</f>
        <v>1013.66</v>
      </c>
      <c r="D57" s="34" t="n">
        <f aca="false">$C57/$C$59</f>
        <v>0.0456028235654532</v>
      </c>
      <c r="E57" s="90" t="n">
        <f aca="false">IF($C57=0,"—",$F57/$C57)</f>
        <v>572.183967010635</v>
      </c>
      <c r="F57" s="28" t="n">
        <f aca="false">SUMIFS(12_Ertragsrechnung!$H$7:$H$24,12_Ertragsrechnung!$D$7:$D$24,$B57)</f>
        <v>580000</v>
      </c>
      <c r="G57" s="28" t="n">
        <f aca="false">SUMIFS(12_Ertragsrechnung!$N$7:$N$24,12_Ertragsrechnung!$D$7:$D$24,$B57)</f>
        <v>319000</v>
      </c>
      <c r="H57" s="62" t="n">
        <f aca="false">SUMIFS($G$8:$G$25,$D$8:$D$25,$B57)</f>
        <v>4833333.33333333</v>
      </c>
      <c r="I57" s="34" t="n">
        <f aca="false">$H57/$H$59</f>
        <v>0.029785322414857</v>
      </c>
      <c r="J57" s="47" t="n">
        <f aca="false">INDEX(08_Annahmen!$K$22:$K$29,MATCH($B57,08_Annahmen!$B$22:$B$29,0))</f>
        <v>0.066</v>
      </c>
      <c r="K57" s="28" t="n">
        <f aca="false">INDEX(14_DCF!$N$8:$N$15,MATCH($B57,14_DCF!$B$8:$B$15,0))</f>
        <v>4458218.80540538</v>
      </c>
    </row>
    <row r="58" customFormat="false" ht="15" hidden="false" customHeight="false" outlineLevel="0" collapsed="false">
      <c r="B58" s="12" t="s">
        <v>198</v>
      </c>
      <c r="C58" s="28" t="n">
        <f aca="false">SUMIFS(12_Ertragsrechnung!$E$7:$E$24,12_Ertragsrechnung!$D$7:$D$24,$B58)</f>
        <v>0</v>
      </c>
      <c r="D58" s="34" t="n">
        <f aca="false">$C58/$C$59</f>
        <v>0</v>
      </c>
      <c r="E58" s="90" t="str">
        <f aca="false">IF($C58=0,"—",$F58/$C58)</f>
        <v>—</v>
      </c>
      <c r="F58" s="28" t="n">
        <f aca="false">SUMIFS(12_Ertragsrechnung!$H$7:$H$24,12_Ertragsrechnung!$D$7:$D$24,$B58)</f>
        <v>385680</v>
      </c>
      <c r="G58" s="28" t="n">
        <f aca="false">SUMIFS(12_Ertragsrechnung!$N$7:$N$24,12_Ertragsrechnung!$D$7:$D$24,$B58)</f>
        <v>296973.6</v>
      </c>
      <c r="H58" s="62" t="n">
        <f aca="false">SUMIFS($G$8:$G$25,$D$8:$D$25,$B58)</f>
        <v>5939472</v>
      </c>
      <c r="I58" s="34" t="n">
        <f aca="false">$H58/$H$59</f>
        <v>0.0366018803780721</v>
      </c>
      <c r="J58" s="47" t="n">
        <f aca="false">INDEX(08_Annahmen!$K$22:$K$29,MATCH($B58,08_Annahmen!$B$22:$B$29,0))</f>
        <v>0.05</v>
      </c>
      <c r="K58" s="28" t="n">
        <f aca="false">INDEX(14_DCF!$N$8:$N$15,MATCH($B58,14_DCF!$B$8:$B$15,0))</f>
        <v>5644749.17957563</v>
      </c>
    </row>
    <row r="59" customFormat="false" ht="15" hidden="false" customHeight="false" outlineLevel="0" collapsed="false">
      <c r="B59" s="20" t="s">
        <v>49</v>
      </c>
      <c r="C59" s="23" t="n">
        <f aca="false">SUM(C51:C58)</f>
        <v>22228.0096</v>
      </c>
      <c r="D59" s="54" t="n">
        <f aca="false">SUM(D51:D58)</f>
        <v>1</v>
      </c>
      <c r="E59" s="20"/>
      <c r="F59" s="23" t="n">
        <f aca="false">SUM(F51:F58)</f>
        <v>8254797.15683932</v>
      </c>
      <c r="G59" s="23" t="n">
        <f aca="false">SUM(G51:G58)</f>
        <v>6632650.29775531</v>
      </c>
      <c r="H59" s="23" t="n">
        <f aca="false">SUM(H51:H58)</f>
        <v>162272318.762024</v>
      </c>
      <c r="I59" s="54" t="n">
        <f aca="false">SUM(I51:I58)</f>
        <v>1</v>
      </c>
      <c r="J59" s="20"/>
      <c r="K59" s="23" t="n">
        <f aca="false">SUM(K51:K58)</f>
        <v>154087675.77664</v>
      </c>
    </row>
    <row r="62" customFormat="false" ht="15" hidden="false" customHeight="false" outlineLevel="0" collapsed="false">
      <c r="B62" s="5" t="s">
        <v>520</v>
      </c>
    </row>
    <row r="63" customFormat="false" ht="15" hidden="false" customHeight="false" outlineLevel="0" collapsed="false">
      <c r="B63" s="4" t="s">
        <v>521</v>
      </c>
    </row>
    <row r="65" customFormat="false" ht="30" hidden="false" customHeight="true" outlineLevel="0" collapsed="false">
      <c r="B65" s="6" t="s">
        <v>522</v>
      </c>
      <c r="C65" s="7" t="s">
        <v>523</v>
      </c>
      <c r="D65" s="7" t="s">
        <v>524</v>
      </c>
      <c r="E65" s="7" t="s">
        <v>525</v>
      </c>
      <c r="F65" s="7" t="s">
        <v>526</v>
      </c>
      <c r="G65" s="7" t="s">
        <v>527</v>
      </c>
      <c r="H65" s="7"/>
      <c r="I65" s="7" t="s">
        <v>528</v>
      </c>
    </row>
    <row r="66" customFormat="false" ht="15" hidden="false" customHeight="false" outlineLevel="0" collapsed="false">
      <c r="B66" s="8" t="s">
        <v>529</v>
      </c>
      <c r="C66" s="82" t="n">
        <f aca="false">08_Annahmen!$C$22*(08_Annahmen!$D$22/100)^08_Annahmen!$E$22*(1+08_Annahmen!$F$22)*(1+08_Annahmen!$C$9)*(1+08_Annahmen!$C$14)/1.1</f>
        <v>323.590909090909</v>
      </c>
      <c r="D66" s="45" t="n">
        <f aca="false">'10_Marktdaten FPRE'!$E$25</f>
        <v>272</v>
      </c>
      <c r="E66" s="45" t="n">
        <f aca="false">'10_Marktdaten FPRE'!$F$25</f>
        <v>304.64</v>
      </c>
      <c r="F66" s="45" t="n">
        <f aca="false">'10_Marktdaten FPRE'!$G$25</f>
        <v>353.6</v>
      </c>
      <c r="G66" s="34" t="n">
        <f aca="false">IF($C66&lt;='10_Marktdaten FPRE'!$C$25,0,IF($C66&lt;='10_Marktdaten FPRE'!$D$25,($C66-'10_Marktdaten FPRE'!$C$25)/('10_Marktdaten FPRE'!$D$25-'10_Marktdaten FPRE'!$C$25)*0.25,IF($C66&lt;='10_Marktdaten FPRE'!$E$25,0.25+($C66-'10_Marktdaten FPRE'!$D$25)/('10_Marktdaten FPRE'!$E$25-'10_Marktdaten FPRE'!$D$25)*0.25,IF($C66&lt;='10_Marktdaten FPRE'!$F$25,0.5+($C66-'10_Marktdaten FPRE'!$E$25)/('10_Marktdaten FPRE'!$F$25-'10_Marktdaten FPRE'!$E$25)*0.25,MIN(1,0.75+($C66-'10_Marktdaten FPRE'!$F$25)/('10_Marktdaten FPRE'!$G$25-'10_Marktdaten FPRE'!$F$25)*0.25)))))</f>
        <v>0.846767305407011</v>
      </c>
      <c r="I66" s="10" t="s">
        <v>530</v>
      </c>
    </row>
    <row r="67" customFormat="false" ht="15" hidden="false" customHeight="false" outlineLevel="0" collapsed="false">
      <c r="B67" s="8" t="s">
        <v>531</v>
      </c>
      <c r="C67" s="82" t="n">
        <f aca="false">$C66</f>
        <v>323.590909090909</v>
      </c>
      <c r="D67" s="45" t="n">
        <f aca="false">'10_Marktdaten FPRE'!$E$24</f>
        <v>247</v>
      </c>
      <c r="E67" s="45" t="n">
        <f aca="false">'10_Marktdaten FPRE'!$F$24</f>
        <v>259.35</v>
      </c>
      <c r="F67" s="45" t="n">
        <f aca="false">'10_Marktdaten FPRE'!$G$24</f>
        <v>277.875</v>
      </c>
      <c r="G67" s="34" t="n">
        <f aca="false">IF($C67&lt;='10_Marktdaten FPRE'!$C$24,0,IF($C67&lt;='10_Marktdaten FPRE'!$D$24,($C67-'10_Marktdaten FPRE'!$C$24)/('10_Marktdaten FPRE'!$D$24-'10_Marktdaten FPRE'!$C$24)*0.25,IF($C67&lt;='10_Marktdaten FPRE'!$E$24,0.25+($C67-'10_Marktdaten FPRE'!$D$24)/('10_Marktdaten FPRE'!$E$24-'10_Marktdaten FPRE'!$D$24)*0.25,IF($C67&lt;='10_Marktdaten FPRE'!$F$24,0.5+($C67-'10_Marktdaten FPRE'!$E$24)/('10_Marktdaten FPRE'!$F$24-'10_Marktdaten FPRE'!$E$24)*0.25,MIN(1,0.75+($C67-'10_Marktdaten FPRE'!$F$24)/('10_Marktdaten FPRE'!$G$24-'10_Marktdaten FPRE'!$F$24)*0.25)))))</f>
        <v>1</v>
      </c>
      <c r="I67" s="10" t="s">
        <v>532</v>
      </c>
    </row>
    <row r="68" customFormat="false" ht="15" hidden="false" customHeight="false" outlineLevel="0" collapsed="false">
      <c r="B68" s="8" t="s">
        <v>533</v>
      </c>
      <c r="C68" s="82" t="n">
        <f aca="false">08_Annahmen!$C$25*(1+08_Annahmen!$F$25)*(1+08_Annahmen!$C$9)*(1+08_Annahmen!$C$14)</f>
        <v>225.498</v>
      </c>
      <c r="D68" s="45" t="n">
        <f aca="false">'10_Marktdaten FPRE'!$E$30</f>
        <v>183</v>
      </c>
      <c r="E68" s="45" t="n">
        <f aca="false">'10_Marktdaten FPRE'!$F$30</f>
        <v>234.24</v>
      </c>
      <c r="F68" s="45" t="n">
        <f aca="false">'10_Marktdaten FPRE'!$G$30</f>
        <v>311.1</v>
      </c>
      <c r="G68" s="34" t="n">
        <f aca="false">IF($C68&lt;='10_Marktdaten FPRE'!$C$30,0,IF($C68&lt;='10_Marktdaten FPRE'!$D$30,($C68-'10_Marktdaten FPRE'!$C$30)/('10_Marktdaten FPRE'!$D$30-'10_Marktdaten FPRE'!$C$30)*0.25,IF($C68&lt;='10_Marktdaten FPRE'!$E$30,0.25+($C68-'10_Marktdaten FPRE'!$D$30)/('10_Marktdaten FPRE'!$E$30-'10_Marktdaten FPRE'!$D$30)*0.25,IF($C68&lt;='10_Marktdaten FPRE'!$F$30,0.5+($C68-'10_Marktdaten FPRE'!$E$30)/('10_Marktdaten FPRE'!$F$30-'10_Marktdaten FPRE'!$E$30)*0.25,MIN(1,0.75+($C68-'10_Marktdaten FPRE'!$F$30)/('10_Marktdaten FPRE'!$G$30-'10_Marktdaten FPRE'!$F$30)*0.25)))))</f>
        <v>0.707347775175644</v>
      </c>
      <c r="I68" s="10" t="s">
        <v>534</v>
      </c>
    </row>
    <row r="69" customFormat="false" ht="15" hidden="false" customHeight="false" outlineLevel="0" collapsed="false">
      <c r="B69" s="8" t="s">
        <v>535</v>
      </c>
      <c r="C69" s="82" t="n">
        <f aca="false">08_Annahmen!$C$26*(1+08_Annahmen!$F$26)*(1+08_Annahmen!$C$9)*(1+08_Annahmen!$C$14)</f>
        <v>208.112625</v>
      </c>
      <c r="D69" s="45" t="n">
        <f aca="false">'10_Marktdaten FPRE'!$E$33</f>
        <v>144</v>
      </c>
      <c r="E69" s="45" t="n">
        <f aca="false">'10_Marktdaten FPRE'!$F$33</f>
        <v>151.2</v>
      </c>
      <c r="F69" s="45" t="n">
        <f aca="false">'10_Marktdaten FPRE'!$G$33</f>
        <v>162</v>
      </c>
      <c r="G69" s="34" t="n">
        <f aca="false">IF($C69&lt;='10_Marktdaten FPRE'!$C$33,0,IF($C69&lt;='10_Marktdaten FPRE'!$D$33,($C69-'10_Marktdaten FPRE'!$C$33)/('10_Marktdaten FPRE'!$D$33-'10_Marktdaten FPRE'!$C$33)*0.25,IF($C69&lt;='10_Marktdaten FPRE'!$E$33,0.25+($C69-'10_Marktdaten FPRE'!$D$33)/('10_Marktdaten FPRE'!$E$33-'10_Marktdaten FPRE'!$D$33)*0.25,IF($C69&lt;='10_Marktdaten FPRE'!$F$33,0.5+($C69-'10_Marktdaten FPRE'!$E$33)/('10_Marktdaten FPRE'!$F$33-'10_Marktdaten FPRE'!$E$33)*0.25,MIN(1,0.75+($C69-'10_Marktdaten FPRE'!$F$33)/('10_Marktdaten FPRE'!$G$33-'10_Marktdaten FPRE'!$F$33)*0.25)))))</f>
        <v>1</v>
      </c>
      <c r="I69" s="10" t="s">
        <v>536</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N10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18"/>
    <col collapsed="false" customWidth="true" hidden="false" outlineLevel="0" max="3" min="3" style="0" width="13"/>
    <col collapsed="false" customWidth="true" hidden="false" outlineLevel="0" max="10" min="4" style="0" width="10"/>
    <col collapsed="false" customWidth="true" hidden="false" outlineLevel="0" max="13" min="11" style="0" width="13"/>
    <col collapsed="false" customWidth="true" hidden="false" outlineLevel="0" max="14" min="14" style="0" width="14"/>
  </cols>
  <sheetData>
    <row r="2" customFormat="false" ht="19.7" hidden="false" customHeight="false" outlineLevel="0" collapsed="false">
      <c r="B2" s="26" t="s">
        <v>537</v>
      </c>
    </row>
    <row r="3" customFormat="false" ht="15" hidden="false" customHeight="false" outlineLevel="0" collapsed="false">
      <c r="B3" s="4" t="s">
        <v>538</v>
      </c>
    </row>
    <row r="6" customFormat="false" ht="15" hidden="false" customHeight="false" outlineLevel="0" collapsed="false">
      <c r="B6" s="5" t="s">
        <v>539</v>
      </c>
    </row>
    <row r="7" customFormat="false" ht="31.5" hidden="false" customHeight="true" outlineLevel="0" collapsed="false">
      <c r="B7" s="6" t="s">
        <v>103</v>
      </c>
      <c r="C7" s="7" t="s">
        <v>540</v>
      </c>
      <c r="D7" s="7" t="s">
        <v>541</v>
      </c>
      <c r="E7" s="7" t="s">
        <v>542</v>
      </c>
      <c r="F7" s="7" t="s">
        <v>543</v>
      </c>
      <c r="G7" s="7" t="s">
        <v>544</v>
      </c>
      <c r="H7" s="7" t="s">
        <v>54</v>
      </c>
      <c r="I7" s="7" t="s">
        <v>545</v>
      </c>
      <c r="J7" s="7" t="s">
        <v>546</v>
      </c>
      <c r="K7" s="7" t="s">
        <v>547</v>
      </c>
      <c r="L7" s="7" t="s">
        <v>548</v>
      </c>
      <c r="M7" s="7" t="s">
        <v>549</v>
      </c>
      <c r="N7" s="7" t="s">
        <v>179</v>
      </c>
    </row>
    <row r="8" customFormat="false" ht="15" hidden="false" customHeight="false" outlineLevel="0" collapsed="false">
      <c r="B8" s="8" t="s">
        <v>106</v>
      </c>
      <c r="C8" s="28" t="n">
        <f aca="false">SUMIFS(12_Ertragsrechnung!$H$7:$H$24,12_Ertragsrechnung!$D$7:$D$24,$B8)</f>
        <v>3387983.27011674</v>
      </c>
      <c r="D8" s="47" t="n">
        <f aca="false">INDEX(08_Annahmen!$L$22:$L$29,MATCH($B8,08_Annahmen!$B$22:$B$29,0))</f>
        <v>0.01</v>
      </c>
      <c r="E8" s="47" t="n">
        <f aca="false">INDEX(08_Annahmen!$G$22:$G$29,MATCH($B8,08_Annahmen!$B$22:$B$29,0))</f>
        <v>0.02</v>
      </c>
      <c r="F8" s="47" t="n">
        <f aca="false">INDEX(08_Annahmen!$M$22:$M$29,MATCH($B8,08_Annahmen!$B$22:$B$29,0))</f>
        <v>0.35</v>
      </c>
      <c r="G8" s="47" t="n">
        <f aca="false">INDEX(08_Annahmen!$H$22:$H$29,MATCH($B8,08_Annahmen!$B$22:$B$29,0))</f>
        <v>0.13</v>
      </c>
      <c r="H8" s="47" t="n">
        <f aca="false">INDEX(08_Annahmen!$K$22:$K$29,MATCH($B8,08_Annahmen!$B$22:$B$29,0))</f>
        <v>0.034</v>
      </c>
      <c r="I8" s="47" t="n">
        <f aca="false">$H8+$D8</f>
        <v>0.044</v>
      </c>
      <c r="J8" s="47" t="n">
        <f aca="false">$H8+08_Annahmen!$C$16</f>
        <v>0.0355</v>
      </c>
      <c r="K8" s="28" t="n">
        <f aca="false">$C8*(1+$D8)^08_Annahmen!$C$17*(1-$E8-$G8)/$J8</f>
        <v>89607748.9743623</v>
      </c>
      <c r="L8" s="28" t="n">
        <f aca="false">$K8/(1+$I8)^08_Annahmen!$C$17</f>
        <v>58255989.1814347</v>
      </c>
      <c r="M8" s="28" t="n">
        <f aca="false">$M$27</f>
        <v>22284542.2825355</v>
      </c>
      <c r="N8" s="62" t="n">
        <f aca="false">$L8+$M8</f>
        <v>80540531.4639702</v>
      </c>
    </row>
    <row r="9" customFormat="false" ht="15" hidden="false" customHeight="false" outlineLevel="0" collapsed="false">
      <c r="B9" s="8" t="s">
        <v>196</v>
      </c>
      <c r="C9" s="28" t="n">
        <f aca="false">SUMIFS(12_Ertragsrechnung!$H$7:$H$24,12_Ertragsrechnung!$D$7:$D$24,$B9)</f>
        <v>986204.162104458</v>
      </c>
      <c r="D9" s="47" t="n">
        <f aca="false">INDEX(08_Annahmen!$L$22:$L$29,MATCH($B9,08_Annahmen!$B$22:$B$29,0))</f>
        <v>0.01</v>
      </c>
      <c r="E9" s="47" t="n">
        <f aca="false">INDEX(08_Annahmen!$G$22:$G$29,MATCH($B9,08_Annahmen!$B$22:$B$29,0))</f>
        <v>0.03</v>
      </c>
      <c r="F9" s="47" t="n">
        <f aca="false">INDEX(08_Annahmen!$M$22:$M$29,MATCH($B9,08_Annahmen!$B$22:$B$29,0))</f>
        <v>0.4</v>
      </c>
      <c r="G9" s="47" t="n">
        <f aca="false">INDEX(08_Annahmen!$H$22:$H$29,MATCH($B9,08_Annahmen!$B$22:$B$29,0))</f>
        <v>0.14</v>
      </c>
      <c r="H9" s="47" t="n">
        <f aca="false">INDEX(08_Annahmen!$K$22:$K$29,MATCH($B9,08_Annahmen!$B$22:$B$29,0))</f>
        <v>0.038</v>
      </c>
      <c r="I9" s="47" t="n">
        <f aca="false">$H9+$D9</f>
        <v>0.048</v>
      </c>
      <c r="J9" s="47" t="n">
        <f aca="false">$H9+08_Annahmen!$C$16</f>
        <v>0.0395</v>
      </c>
      <c r="K9" s="28" t="n">
        <f aca="false">$C9*(1+$D9)^08_Annahmen!$C$17*(1-$E9-$G9)/$J9</f>
        <v>22890831.3477357</v>
      </c>
      <c r="L9" s="28" t="n">
        <f aca="false">$K9/(1+$I9)^08_Annahmen!$C$17</f>
        <v>14323486.3711206</v>
      </c>
      <c r="M9" s="28" t="n">
        <f aca="false">$M$38</f>
        <v>6135926.29382123</v>
      </c>
      <c r="N9" s="62" t="n">
        <f aca="false">$L9+$M9</f>
        <v>20459412.6649418</v>
      </c>
    </row>
    <row r="10" customFormat="false" ht="15" hidden="false" customHeight="false" outlineLevel="0" collapsed="false">
      <c r="B10" s="8" t="s">
        <v>218</v>
      </c>
      <c r="C10" s="28" t="n">
        <f aca="false">SUMIFS(12_Ertragsrechnung!$H$7:$H$24,12_Ertragsrechnung!$D$7:$D$24,$B10)</f>
        <v>1221441.61901716</v>
      </c>
      <c r="D10" s="47" t="n">
        <f aca="false">INDEX(08_Annahmen!$L$22:$L$29,MATCH($B10,08_Annahmen!$B$22:$B$29,0))</f>
        <v>0.01</v>
      </c>
      <c r="E10" s="47" t="n">
        <f aca="false">INDEX(08_Annahmen!$G$22:$G$29,MATCH($B10,08_Annahmen!$B$22:$B$29,0))</f>
        <v>0.08</v>
      </c>
      <c r="F10" s="47" t="n">
        <f aca="false">INDEX(08_Annahmen!$M$22:$M$29,MATCH($B10,08_Annahmen!$B$22:$B$29,0))</f>
        <v>0.45</v>
      </c>
      <c r="G10" s="47" t="n">
        <f aca="false">INDEX(08_Annahmen!$H$22:$H$29,MATCH($B10,08_Annahmen!$B$22:$B$29,0))</f>
        <v>0.22</v>
      </c>
      <c r="H10" s="47" t="n">
        <f aca="false">INDEX(08_Annahmen!$K$22:$K$29,MATCH($B10,08_Annahmen!$B$22:$B$29,0))</f>
        <v>0.052</v>
      </c>
      <c r="I10" s="47" t="n">
        <f aca="false">$H10+$D10</f>
        <v>0.062</v>
      </c>
      <c r="J10" s="47" t="n">
        <f aca="false">$H10+08_Annahmen!$C$16</f>
        <v>0.0535</v>
      </c>
      <c r="K10" s="28" t="n">
        <f aca="false">$C10*(1+$D10)^08_Annahmen!$C$17*(1-$E10-$G10)/$J10</f>
        <v>17653495.4408432</v>
      </c>
      <c r="L10" s="28" t="n">
        <f aca="false">$K10/(1+$I10)^08_Annahmen!$C$17</f>
        <v>9673542.46106846</v>
      </c>
      <c r="M10" s="28" t="n">
        <f aca="false">$M$49</f>
        <v>5861990.71326997</v>
      </c>
      <c r="N10" s="62" t="n">
        <f aca="false">$L10+$M10</f>
        <v>15535533.1743384</v>
      </c>
    </row>
    <row r="11" customFormat="false" ht="15" hidden="false" customHeight="false" outlineLevel="0" collapsed="false">
      <c r="B11" s="8" t="s">
        <v>130</v>
      </c>
      <c r="C11" s="28" t="n">
        <f aca="false">SUMIFS(12_Ertragsrechnung!$H$7:$H$24,12_Ertragsrechnung!$D$7:$D$24,$B11)</f>
        <v>500116.078773269</v>
      </c>
      <c r="D11" s="47" t="n">
        <f aca="false">INDEX(08_Annahmen!$L$22:$L$29,MATCH($B11,08_Annahmen!$B$22:$B$29,0))</f>
        <v>0.003</v>
      </c>
      <c r="E11" s="47" t="n">
        <f aca="false">INDEX(08_Annahmen!$G$22:$G$29,MATCH($B11,08_Annahmen!$B$22:$B$29,0))</f>
        <v>0.06</v>
      </c>
      <c r="F11" s="47" t="n">
        <f aca="false">INDEX(08_Annahmen!$M$22:$M$29,MATCH($B11,08_Annahmen!$B$22:$B$29,0))</f>
        <v>0.45</v>
      </c>
      <c r="G11" s="47" t="n">
        <f aca="false">INDEX(08_Annahmen!$H$22:$H$29,MATCH($B11,08_Annahmen!$B$22:$B$29,0))</f>
        <v>0.09</v>
      </c>
      <c r="H11" s="47" t="n">
        <f aca="false">INDEX(08_Annahmen!$K$22:$K$29,MATCH($B11,08_Annahmen!$B$22:$B$29,0))</f>
        <v>0.051</v>
      </c>
      <c r="I11" s="47" t="n">
        <f aca="false">$H11+$D11</f>
        <v>0.054</v>
      </c>
      <c r="J11" s="47" t="n">
        <f aca="false">$H11+08_Annahmen!$C$16</f>
        <v>0.0525</v>
      </c>
      <c r="K11" s="28" t="n">
        <f aca="false">$C11*(1+$D11)^08_Annahmen!$C$17*(1-$E11-$G11)/$J11</f>
        <v>8343336.6952918</v>
      </c>
      <c r="L11" s="28" t="n">
        <f aca="false">$K11/(1+$I11)^08_Annahmen!$C$17</f>
        <v>4930984.76961064</v>
      </c>
      <c r="M11" s="28" t="n">
        <f aca="false">$M$60</f>
        <v>2986152.66274704</v>
      </c>
      <c r="N11" s="62" t="n">
        <f aca="false">$L11+$M11</f>
        <v>7917137.43235768</v>
      </c>
    </row>
    <row r="12" customFormat="false" ht="15" hidden="false" customHeight="false" outlineLevel="0" collapsed="false">
      <c r="B12" s="8" t="s">
        <v>107</v>
      </c>
      <c r="C12" s="28" t="n">
        <f aca="false">SUMIFS(12_Ertragsrechnung!$H$7:$H$24,12_Ertragsrechnung!$D$7:$D$24,$B12)</f>
        <v>682125.802827693</v>
      </c>
      <c r="D12" s="47" t="n">
        <f aca="false">INDEX(08_Annahmen!$L$22:$L$29,MATCH($B12,08_Annahmen!$B$22:$B$29,0))</f>
        <v>0.005</v>
      </c>
      <c r="E12" s="47" t="n">
        <f aca="false">INDEX(08_Annahmen!$G$22:$G$29,MATCH($B12,08_Annahmen!$B$22:$B$29,0))</f>
        <v>0.05</v>
      </c>
      <c r="F12" s="47" t="n">
        <f aca="false">INDEX(08_Annahmen!$M$22:$M$29,MATCH($B12,08_Annahmen!$B$22:$B$29,0))</f>
        <v>0.4</v>
      </c>
      <c r="G12" s="47" t="n">
        <f aca="false">INDEX(08_Annahmen!$H$22:$H$29,MATCH($B12,08_Annahmen!$B$22:$B$29,0))</f>
        <v>0.08</v>
      </c>
      <c r="H12" s="47" t="n">
        <f aca="false">INDEX(08_Annahmen!$K$22:$K$29,MATCH($B12,08_Annahmen!$B$22:$B$29,0))</f>
        <v>0.056</v>
      </c>
      <c r="I12" s="47" t="n">
        <f aca="false">$H12+$D12</f>
        <v>0.061</v>
      </c>
      <c r="J12" s="47" t="n">
        <f aca="false">$H12+08_Annahmen!$C$16</f>
        <v>0.0575</v>
      </c>
      <c r="K12" s="28" t="n">
        <f aca="false">$C12*(1+$D12)^08_Annahmen!$C$17*(1-$E12-$G12)/$J12</f>
        <v>10848670.1150239</v>
      </c>
      <c r="L12" s="28" t="n">
        <f aca="false">$K12/(1+$I12)^08_Annahmen!$C$17</f>
        <v>6000986.70242544</v>
      </c>
      <c r="M12" s="28" t="n">
        <f aca="false">$M$71</f>
        <v>4103995.52460235</v>
      </c>
      <c r="N12" s="62" t="n">
        <f aca="false">$L12+$M12</f>
        <v>10104982.2270278</v>
      </c>
    </row>
    <row r="13" customFormat="false" ht="15" hidden="false" customHeight="false" outlineLevel="0" collapsed="false">
      <c r="B13" s="8" t="s">
        <v>180</v>
      </c>
      <c r="C13" s="28" t="n">
        <f aca="false">SUMIFS(12_Ertragsrechnung!$H$7:$H$24,12_Ertragsrechnung!$D$7:$D$24,$B13)</f>
        <v>511246.224</v>
      </c>
      <c r="D13" s="47" t="n">
        <f aca="false">INDEX(08_Annahmen!$L$22:$L$29,MATCH($B13,08_Annahmen!$B$22:$B$29,0))</f>
        <v>0.01</v>
      </c>
      <c r="E13" s="47" t="n">
        <f aca="false">INDEX(08_Annahmen!$G$22:$G$29,MATCH($B13,08_Annahmen!$B$22:$B$29,0))</f>
        <v>0.05</v>
      </c>
      <c r="F13" s="47" t="n">
        <f aca="false">INDEX(08_Annahmen!$M$22:$M$29,MATCH($B13,08_Annahmen!$B$22:$B$29,0))</f>
        <v>0.4</v>
      </c>
      <c r="G13" s="47" t="n">
        <f aca="false">INDEX(08_Annahmen!$H$22:$H$29,MATCH($B13,08_Annahmen!$B$22:$B$29,0))</f>
        <v>0.08</v>
      </c>
      <c r="H13" s="47" t="n">
        <f aca="false">INDEX(08_Annahmen!$K$22:$K$29,MATCH($B13,08_Annahmen!$B$22:$B$29,0))</f>
        <v>0.045</v>
      </c>
      <c r="I13" s="47" t="n">
        <f aca="false">$H13+$D13</f>
        <v>0.055</v>
      </c>
      <c r="J13" s="47" t="n">
        <f aca="false">$H13+08_Annahmen!$C$16</f>
        <v>0.0465</v>
      </c>
      <c r="K13" s="28" t="n">
        <f aca="false">$C13*(1+$D13)^08_Annahmen!$C$17*(1-$E13-$G13)/$J13</f>
        <v>10565988.9202172</v>
      </c>
      <c r="L13" s="28" t="n">
        <f aca="false">$K13/(1+$I13)^08_Annahmen!$C$17</f>
        <v>6185653.01578843</v>
      </c>
      <c r="M13" s="28" t="n">
        <f aca="false">$M$82</f>
        <v>3241457.81323429</v>
      </c>
      <c r="N13" s="62" t="n">
        <f aca="false">$L13+$M13</f>
        <v>9427110.82902272</v>
      </c>
    </row>
    <row r="14" customFormat="false" ht="15" hidden="false" customHeight="false" outlineLevel="0" collapsed="false">
      <c r="B14" s="12" t="s">
        <v>197</v>
      </c>
      <c r="C14" s="28" t="n">
        <f aca="false">SUMIFS(12_Ertragsrechnung!$H$7:$H$24,12_Ertragsrechnung!$D$7:$D$24,$B14)</f>
        <v>580000</v>
      </c>
      <c r="D14" s="47" t="n">
        <f aca="false">INDEX(08_Annahmen!$L$22:$L$29,MATCH($B14,08_Annahmen!$B$22:$B$29,0))</f>
        <v>0.005</v>
      </c>
      <c r="E14" s="47" t="n">
        <f aca="false">INDEX(08_Annahmen!$G$22:$G$29,MATCH($B14,08_Annahmen!$B$22:$B$29,0))</f>
        <v>0.1</v>
      </c>
      <c r="F14" s="47" t="n">
        <f aca="false">INDEX(08_Annahmen!$M$22:$M$29,MATCH($B14,08_Annahmen!$B$22:$B$29,0))</f>
        <v>0.5</v>
      </c>
      <c r="G14" s="47" t="n">
        <f aca="false">INDEX(08_Annahmen!$H$22:$H$29,MATCH($B14,08_Annahmen!$B$22:$B$29,0))</f>
        <v>0.35</v>
      </c>
      <c r="H14" s="47" t="n">
        <f aca="false">INDEX(08_Annahmen!$K$22:$K$29,MATCH($B14,08_Annahmen!$B$22:$B$29,0))</f>
        <v>0.066</v>
      </c>
      <c r="I14" s="47" t="n">
        <f aca="false">$H14+$D14</f>
        <v>0.071</v>
      </c>
      <c r="J14" s="47" t="n">
        <f aca="false">$H14+08_Annahmen!$C$16</f>
        <v>0.0675</v>
      </c>
      <c r="K14" s="28" t="n">
        <f aca="false">$C14*(1+$D14)^08_Annahmen!$C$17*(1-$E14-$G14)/$J14</f>
        <v>4967610.40179277</v>
      </c>
      <c r="L14" s="28" t="n">
        <f aca="false">$K14/(1+$I14)^08_Annahmen!$C$17</f>
        <v>2501801.33236429</v>
      </c>
      <c r="M14" s="28" t="n">
        <f aca="false">$M$93</f>
        <v>1956417.47304108</v>
      </c>
      <c r="N14" s="62" t="n">
        <f aca="false">$L14+$M14</f>
        <v>4458218.80540538</v>
      </c>
    </row>
    <row r="15" customFormat="false" ht="15" hidden="false" customHeight="false" outlineLevel="0" collapsed="false">
      <c r="B15" s="12" t="s">
        <v>198</v>
      </c>
      <c r="C15" s="28" t="n">
        <f aca="false">SUMIFS(12_Ertragsrechnung!$H$7:$H$24,12_Ertragsrechnung!$D$7:$D$24,$B15)</f>
        <v>385680</v>
      </c>
      <c r="D15" s="47" t="n">
        <f aca="false">INDEX(08_Annahmen!$L$22:$L$29,MATCH($B15,08_Annahmen!$B$22:$B$29,0))</f>
        <v>0.01</v>
      </c>
      <c r="E15" s="47" t="n">
        <f aca="false">INDEX(08_Annahmen!$G$22:$G$29,MATCH($B15,08_Annahmen!$B$22:$B$29,0))</f>
        <v>0.05</v>
      </c>
      <c r="F15" s="47" t="n">
        <f aca="false">INDEX(08_Annahmen!$M$22:$M$29,MATCH($B15,08_Annahmen!$B$22:$B$29,0))</f>
        <v>0.4</v>
      </c>
      <c r="G15" s="47" t="n">
        <f aca="false">INDEX(08_Annahmen!$H$22:$H$29,MATCH($B15,08_Annahmen!$B$22:$B$29,0))</f>
        <v>0.18</v>
      </c>
      <c r="H15" s="47" t="n">
        <f aca="false">INDEX(08_Annahmen!$K$22:$K$29,MATCH($B15,08_Annahmen!$B$22:$B$29,0))</f>
        <v>0.05</v>
      </c>
      <c r="I15" s="47" t="n">
        <f aca="false">$H15+$D15</f>
        <v>0.06</v>
      </c>
      <c r="J15" s="47" t="n">
        <f aca="false">$H15+08_Annahmen!$C$16</f>
        <v>0.0515</v>
      </c>
      <c r="K15" s="28" t="n">
        <f aca="false">$C15*(1+$D15)^08_Annahmen!$C$17*(1-$E15-$G15)/$J15</f>
        <v>6369778.81986441</v>
      </c>
      <c r="L15" s="28" t="n">
        <f aca="false">$K15/(1+$I15)^08_Annahmen!$C$17</f>
        <v>3556851.22311683</v>
      </c>
      <c r="M15" s="28" t="n">
        <f aca="false">$M$104</f>
        <v>2087897.9564588</v>
      </c>
      <c r="N15" s="62" t="n">
        <f aca="false">$L15+$M15</f>
        <v>5644749.17957563</v>
      </c>
    </row>
    <row r="16" customFormat="false" ht="15" hidden="false" customHeight="false" outlineLevel="0" collapsed="false">
      <c r="B16" s="20" t="s">
        <v>49</v>
      </c>
      <c r="C16" s="23" t="n">
        <f aca="false">SUM(C8:C15)</f>
        <v>8254797.15683932</v>
      </c>
      <c r="D16" s="20"/>
      <c r="E16" s="20"/>
      <c r="F16" s="20"/>
      <c r="G16" s="20"/>
      <c r="H16" s="20"/>
      <c r="I16" s="20"/>
      <c r="J16" s="20"/>
      <c r="K16" s="23" t="n">
        <f aca="false">SUM(K8:K15)</f>
        <v>171247460.715131</v>
      </c>
      <c r="L16" s="23" t="n">
        <f aca="false">SUM(L8:L15)</f>
        <v>105429295.056929</v>
      </c>
      <c r="M16" s="23" t="n">
        <f aca="false">SUM(M8:M15)</f>
        <v>48658380.7197102</v>
      </c>
      <c r="N16" s="23" t="n">
        <f aca="false">SUM(N8:N15)</f>
        <v>154087675.77664</v>
      </c>
    </row>
    <row r="19" customFormat="false" ht="15" hidden="false" customHeight="false" outlineLevel="0" collapsed="false">
      <c r="B19" s="5" t="s">
        <v>106</v>
      </c>
    </row>
    <row r="20" customFormat="false" ht="18" hidden="false" customHeight="true" outlineLevel="0" collapsed="false">
      <c r="B20" s="6" t="s">
        <v>550</v>
      </c>
      <c r="C20" s="7" t="s">
        <v>551</v>
      </c>
      <c r="D20" s="7" t="s">
        <v>552</v>
      </c>
      <c r="E20" s="7" t="s">
        <v>553</v>
      </c>
      <c r="F20" s="7" t="s">
        <v>554</v>
      </c>
      <c r="G20" s="7" t="s">
        <v>555</v>
      </c>
      <c r="H20" s="7" t="s">
        <v>556</v>
      </c>
      <c r="I20" s="7" t="s">
        <v>557</v>
      </c>
      <c r="J20" s="7" t="s">
        <v>558</v>
      </c>
      <c r="K20" s="7" t="s">
        <v>559</v>
      </c>
      <c r="L20" s="7" t="s">
        <v>560</v>
      </c>
      <c r="M20" s="7" t="s">
        <v>192</v>
      </c>
      <c r="N20" s="7" t="s">
        <v>561</v>
      </c>
    </row>
    <row r="21" customFormat="false" ht="15" hidden="false" customHeight="false" outlineLevel="0" collapsed="false">
      <c r="B21" s="8" t="s">
        <v>562</v>
      </c>
      <c r="C21" s="28" t="n">
        <f aca="false">IF(1&gt;08_Annahmen!$C$17,0,$C$8*(1+$D$8)^0)</f>
        <v>3387983.27011674</v>
      </c>
      <c r="D21" s="28" t="n">
        <f aca="false">IF(2&gt;08_Annahmen!$C$17,0,$C$8*(1+$D$8)^1)</f>
        <v>3421863.10281791</v>
      </c>
      <c r="E21" s="28" t="n">
        <f aca="false">IF(3&gt;08_Annahmen!$C$17,0,$C$8*(1+$D$8)^2)</f>
        <v>3456081.73384609</v>
      </c>
      <c r="F21" s="28" t="n">
        <f aca="false">IF(4&gt;08_Annahmen!$C$17,0,$C$8*(1+$D$8)^3)</f>
        <v>3490642.55118455</v>
      </c>
      <c r="G21" s="28" t="n">
        <f aca="false">IF(5&gt;08_Annahmen!$C$17,0,$C$8*(1+$D$8)^4)</f>
        <v>3525548.97669639</v>
      </c>
      <c r="H21" s="28" t="n">
        <f aca="false">IF(6&gt;08_Annahmen!$C$17,0,$C$8*(1+$D$8)^5)</f>
        <v>3560804.46646336</v>
      </c>
      <c r="I21" s="28" t="n">
        <f aca="false">IF(7&gt;08_Annahmen!$C$17,0,$C$8*(1+$D$8)^6)</f>
        <v>3596412.51112799</v>
      </c>
      <c r="J21" s="28" t="n">
        <f aca="false">IF(8&gt;08_Annahmen!$C$17,0,$C$8*(1+$D$8)^7)</f>
        <v>3632376.63623927</v>
      </c>
      <c r="K21" s="28" t="n">
        <f aca="false">IF(9&gt;08_Annahmen!$C$17,0,$C$8*(1+$D$8)^8)</f>
        <v>3668700.40260166</v>
      </c>
      <c r="L21" s="28" t="n">
        <f aca="false">IF(10&gt;08_Annahmen!$C$17,0,$C$8*(1+$D$8)^9)</f>
        <v>3705387.40662768</v>
      </c>
    </row>
    <row r="22" customFormat="false" ht="15" hidden="false" customHeight="false" outlineLevel="0" collapsed="false">
      <c r="B22" s="8" t="s">
        <v>563</v>
      </c>
      <c r="C22" s="34" t="n">
        <f aca="false">$F$8</f>
        <v>0.35</v>
      </c>
      <c r="D22" s="34" t="n">
        <f aca="false">($F$8+$E$8)/2</f>
        <v>0.185</v>
      </c>
      <c r="E22" s="34" t="n">
        <f aca="false">$E$8</f>
        <v>0.02</v>
      </c>
      <c r="F22" s="34" t="n">
        <f aca="false">$E$8</f>
        <v>0.02</v>
      </c>
      <c r="G22" s="34" t="n">
        <f aca="false">$E$8</f>
        <v>0.02</v>
      </c>
      <c r="H22" s="34" t="n">
        <f aca="false">$E$8</f>
        <v>0.02</v>
      </c>
      <c r="I22" s="34" t="n">
        <f aca="false">$E$8</f>
        <v>0.02</v>
      </c>
      <c r="J22" s="34" t="n">
        <f aca="false">$E$8</f>
        <v>0.02</v>
      </c>
      <c r="K22" s="34" t="n">
        <f aca="false">$E$8</f>
        <v>0.02</v>
      </c>
      <c r="L22" s="34" t="n">
        <f aca="false">$E$8</f>
        <v>0.02</v>
      </c>
    </row>
    <row r="23" customFormat="false" ht="15" hidden="false" customHeight="false" outlineLevel="0" collapsed="false">
      <c r="B23" s="8" t="s">
        <v>564</v>
      </c>
      <c r="C23" s="28" t="n">
        <f aca="false">-C21*C22</f>
        <v>-1185794.14454086</v>
      </c>
      <c r="D23" s="28" t="n">
        <f aca="false">-D21*D22</f>
        <v>-633044.674021313</v>
      </c>
      <c r="E23" s="28" t="n">
        <f aca="false">-E21*E22</f>
        <v>-69121.6346769218</v>
      </c>
      <c r="F23" s="28" t="n">
        <f aca="false">-F21*F22</f>
        <v>-69812.851023691</v>
      </c>
      <c r="G23" s="28" t="n">
        <f aca="false">-G21*G22</f>
        <v>-70510.9795339279</v>
      </c>
      <c r="H23" s="28" t="n">
        <f aca="false">-H21*H22</f>
        <v>-71216.0893292672</v>
      </c>
      <c r="I23" s="28" t="n">
        <f aca="false">-I21*I22</f>
        <v>-71928.2502225598</v>
      </c>
      <c r="J23" s="28" t="n">
        <f aca="false">-J21*J22</f>
        <v>-72647.5327247854</v>
      </c>
      <c r="K23" s="28" t="n">
        <f aca="false">-K21*K22</f>
        <v>-73374.0080520333</v>
      </c>
      <c r="L23" s="28" t="n">
        <f aca="false">-L21*L22</f>
        <v>-74107.7481325536</v>
      </c>
    </row>
    <row r="24" customFormat="false" ht="15" hidden="false" customHeight="false" outlineLevel="0" collapsed="false">
      <c r="B24" s="8" t="s">
        <v>565</v>
      </c>
      <c r="C24" s="28" t="n">
        <f aca="false">-C21*$G$8</f>
        <v>-440437.825115176</v>
      </c>
      <c r="D24" s="28" t="n">
        <f aca="false">-D21*$G$8</f>
        <v>-444842.203366328</v>
      </c>
      <c r="E24" s="28" t="n">
        <f aca="false">-E21*$G$8</f>
        <v>-449290.625399991</v>
      </c>
      <c r="F24" s="28" t="n">
        <f aca="false">-F21*$G$8</f>
        <v>-453783.531653991</v>
      </c>
      <c r="G24" s="28" t="n">
        <f aca="false">-G21*$G$8</f>
        <v>-458321.366970531</v>
      </c>
      <c r="H24" s="28" t="n">
        <f aca="false">-H21*$G$8</f>
        <v>-462904.580640237</v>
      </c>
      <c r="I24" s="28" t="n">
        <f aca="false">-I21*$G$8</f>
        <v>-467533.626446639</v>
      </c>
      <c r="J24" s="28" t="n">
        <f aca="false">-J21*$G$8</f>
        <v>-472208.962711105</v>
      </c>
      <c r="K24" s="28" t="n">
        <f aca="false">-K21*$G$8</f>
        <v>-476931.052338216</v>
      </c>
      <c r="L24" s="28" t="n">
        <f aca="false">-L21*$G$8</f>
        <v>-481700.362861599</v>
      </c>
    </row>
    <row r="25" customFormat="false" ht="15" hidden="false" customHeight="false" outlineLevel="0" collapsed="false">
      <c r="B25" s="12" t="s">
        <v>566</v>
      </c>
      <c r="C25" s="62" t="n">
        <f aca="false">C21+C23+C24</f>
        <v>1761751.30046071</v>
      </c>
      <c r="D25" s="62" t="n">
        <f aca="false">D21+D23+D24</f>
        <v>2343976.22543027</v>
      </c>
      <c r="E25" s="62" t="n">
        <f aca="false">E21+E23+E24</f>
        <v>2937669.47376917</v>
      </c>
      <c r="F25" s="62" t="n">
        <f aca="false">F21+F23+F24</f>
        <v>2967046.16850687</v>
      </c>
      <c r="G25" s="62" t="n">
        <f aca="false">G21+G23+G24</f>
        <v>2996716.63019193</v>
      </c>
      <c r="H25" s="62" t="n">
        <f aca="false">H21+H23+H24</f>
        <v>3026683.79649385</v>
      </c>
      <c r="I25" s="62" t="n">
        <f aca="false">I21+I23+I24</f>
        <v>3056950.63445879</v>
      </c>
      <c r="J25" s="62" t="n">
        <f aca="false">J21+J23+J24</f>
        <v>3087520.14080338</v>
      </c>
      <c r="K25" s="62" t="n">
        <f aca="false">K21+K23+K24</f>
        <v>3118395.34221141</v>
      </c>
      <c r="L25" s="62" t="n">
        <f aca="false">L21+L23+L24</f>
        <v>3149579.29563353</v>
      </c>
      <c r="M25" s="62" t="n">
        <f aca="false">SUM(C25:L25)</f>
        <v>28446289.0079599</v>
      </c>
    </row>
    <row r="26" customFormat="false" ht="15" hidden="false" customHeight="false" outlineLevel="0" collapsed="false">
      <c r="B26" s="8" t="s">
        <v>567</v>
      </c>
      <c r="C26" s="81" t="n">
        <f aca="false">IF(1&gt;08_Annahmen!$C$17,0,1/(1+$I$8)^1)</f>
        <v>0.957854406130268</v>
      </c>
      <c r="D26" s="81" t="n">
        <f aca="false">IF(2&gt;08_Annahmen!$C$17,0,1/(1+$I$8)^2)</f>
        <v>0.917485063343169</v>
      </c>
      <c r="E26" s="81" t="n">
        <f aca="false">IF(3&gt;08_Annahmen!$C$17,0,1/(1+$I$8)^3)</f>
        <v>0.878817110481962</v>
      </c>
      <c r="F26" s="81" t="n">
        <f aca="false">IF(4&gt;08_Annahmen!$C$17,0,1/(1+$I$8)^4)</f>
        <v>0.841778841457818</v>
      </c>
      <c r="G26" s="81" t="n">
        <f aca="false">IF(5&gt;08_Annahmen!$C$17,0,1/(1+$I$8)^5)</f>
        <v>0.806301572277604</v>
      </c>
      <c r="H26" s="81" t="n">
        <f aca="false">IF(6&gt;08_Annahmen!$C$17,0,1/(1+$I$8)^6)</f>
        <v>0.772319513675866</v>
      </c>
      <c r="I26" s="81" t="n">
        <f aca="false">IF(7&gt;08_Annahmen!$C$17,0,1/(1+$I$8)^7)</f>
        <v>0.739769649114814</v>
      </c>
      <c r="J26" s="81" t="n">
        <f aca="false">IF(8&gt;08_Annahmen!$C$17,0,1/(1+$I$8)^8)</f>
        <v>0.708591617926067</v>
      </c>
      <c r="K26" s="81" t="n">
        <f aca="false">IF(9&gt;08_Annahmen!$C$17,0,1/(1+$I$8)^9)</f>
        <v>0.678727603377459</v>
      </c>
      <c r="L26" s="81" t="n">
        <f aca="false">IF(10&gt;08_Annahmen!$C$17,0,1/(1+$I$8)^10)</f>
        <v>0.650122225457336</v>
      </c>
    </row>
    <row r="27" customFormat="false" ht="15" hidden="false" customHeight="false" outlineLevel="0" collapsed="false">
      <c r="B27" s="12" t="s">
        <v>568</v>
      </c>
      <c r="C27" s="28" t="n">
        <f aca="false">C25*C26</f>
        <v>1687501.24565202</v>
      </c>
      <c r="D27" s="28" t="n">
        <f aca="false">D25*D26</f>
        <v>2150563.17566377</v>
      </c>
      <c r="E27" s="28" t="n">
        <f aca="false">E25*E26</f>
        <v>2581674.19848889</v>
      </c>
      <c r="F27" s="28" t="n">
        <f aca="false">F25*F26</f>
        <v>2497596.68627757</v>
      </c>
      <c r="G27" s="28" t="n">
        <f aca="false">G25*G26</f>
        <v>2416257.3305942</v>
      </c>
      <c r="H27" s="28" t="n">
        <f aca="false">H25*H26</f>
        <v>2337566.95775876</v>
      </c>
      <c r="I27" s="28" t="n">
        <f aca="false">I25*I26</f>
        <v>2261439.29821489</v>
      </c>
      <c r="J27" s="28" t="n">
        <f aca="false">J25*J26</f>
        <v>2187790.89195118</v>
      </c>
      <c r="K27" s="28" t="n">
        <f aca="false">K25*K26</f>
        <v>2116540.99700258</v>
      </c>
      <c r="L27" s="28" t="n">
        <f aca="false">L25*L26</f>
        <v>2047611.50093162</v>
      </c>
      <c r="M27" s="62" t="n">
        <f aca="false">SUM(C27:L27)</f>
        <v>22284542.2825355</v>
      </c>
      <c r="N27" s="62" t="n">
        <f aca="false">$L$8</f>
        <v>58255989.1814347</v>
      </c>
    </row>
    <row r="30" customFormat="false" ht="15" hidden="false" customHeight="false" outlineLevel="0" collapsed="false">
      <c r="B30" s="5" t="s">
        <v>196</v>
      </c>
    </row>
    <row r="31" customFormat="false" ht="18" hidden="false" customHeight="true" outlineLevel="0" collapsed="false">
      <c r="B31" s="6" t="s">
        <v>550</v>
      </c>
      <c r="C31" s="7" t="s">
        <v>551</v>
      </c>
      <c r="D31" s="7" t="s">
        <v>552</v>
      </c>
      <c r="E31" s="7" t="s">
        <v>553</v>
      </c>
      <c r="F31" s="7" t="s">
        <v>554</v>
      </c>
      <c r="G31" s="7" t="s">
        <v>555</v>
      </c>
      <c r="H31" s="7" t="s">
        <v>556</v>
      </c>
      <c r="I31" s="7" t="s">
        <v>557</v>
      </c>
      <c r="J31" s="7" t="s">
        <v>558</v>
      </c>
      <c r="K31" s="7" t="s">
        <v>559</v>
      </c>
      <c r="L31" s="7" t="s">
        <v>560</v>
      </c>
      <c r="M31" s="7" t="s">
        <v>192</v>
      </c>
      <c r="N31" s="7" t="s">
        <v>561</v>
      </c>
    </row>
    <row r="32" customFormat="false" ht="15" hidden="false" customHeight="false" outlineLevel="0" collapsed="false">
      <c r="B32" s="8" t="s">
        <v>562</v>
      </c>
      <c r="C32" s="28" t="n">
        <f aca="false">IF(1&gt;08_Annahmen!$C$17,0,$C$9*(1+$D$9)^0)</f>
        <v>986204.162104458</v>
      </c>
      <c r="D32" s="28" t="n">
        <f aca="false">IF(2&gt;08_Annahmen!$C$17,0,$C$9*(1+$D$9)^1)</f>
        <v>996066.203725503</v>
      </c>
      <c r="E32" s="28" t="n">
        <f aca="false">IF(3&gt;08_Annahmen!$C$17,0,$C$9*(1+$D$9)^2)</f>
        <v>1006026.86576276</v>
      </c>
      <c r="F32" s="28" t="n">
        <f aca="false">IF(4&gt;08_Annahmen!$C$17,0,$C$9*(1+$D$9)^3)</f>
        <v>1016087.13442039</v>
      </c>
      <c r="G32" s="28" t="n">
        <f aca="false">IF(5&gt;08_Annahmen!$C$17,0,$C$9*(1+$D$9)^4)</f>
        <v>1026248.00576459</v>
      </c>
      <c r="H32" s="28" t="n">
        <f aca="false">IF(6&gt;08_Annahmen!$C$17,0,$C$9*(1+$D$9)^5)</f>
        <v>1036510.48582224</v>
      </c>
      <c r="I32" s="28" t="n">
        <f aca="false">IF(7&gt;08_Annahmen!$C$17,0,$C$9*(1+$D$9)^6)</f>
        <v>1046875.59068046</v>
      </c>
      <c r="J32" s="28" t="n">
        <f aca="false">IF(8&gt;08_Annahmen!$C$17,0,$C$9*(1+$D$9)^7)</f>
        <v>1057344.34658726</v>
      </c>
      <c r="K32" s="28" t="n">
        <f aca="false">IF(9&gt;08_Annahmen!$C$17,0,$C$9*(1+$D$9)^8)</f>
        <v>1067917.79005314</v>
      </c>
      <c r="L32" s="28" t="n">
        <f aca="false">IF(10&gt;08_Annahmen!$C$17,0,$C$9*(1+$D$9)^9)</f>
        <v>1078596.96795367</v>
      </c>
    </row>
    <row r="33" customFormat="false" ht="15" hidden="false" customHeight="false" outlineLevel="0" collapsed="false">
      <c r="B33" s="8" t="s">
        <v>563</v>
      </c>
      <c r="C33" s="34" t="n">
        <f aca="false">$F$9</f>
        <v>0.4</v>
      </c>
      <c r="D33" s="34" t="n">
        <f aca="false">($F$9+$E$9)/2</f>
        <v>0.215</v>
      </c>
      <c r="E33" s="34" t="n">
        <f aca="false">$E$9</f>
        <v>0.03</v>
      </c>
      <c r="F33" s="34" t="n">
        <f aca="false">$E$9</f>
        <v>0.03</v>
      </c>
      <c r="G33" s="34" t="n">
        <f aca="false">$E$9</f>
        <v>0.03</v>
      </c>
      <c r="H33" s="34" t="n">
        <f aca="false">$E$9</f>
        <v>0.03</v>
      </c>
      <c r="I33" s="34" t="n">
        <f aca="false">$E$9</f>
        <v>0.03</v>
      </c>
      <c r="J33" s="34" t="n">
        <f aca="false">$E$9</f>
        <v>0.03</v>
      </c>
      <c r="K33" s="34" t="n">
        <f aca="false">$E$9</f>
        <v>0.03</v>
      </c>
      <c r="L33" s="34" t="n">
        <f aca="false">$E$9</f>
        <v>0.03</v>
      </c>
    </row>
    <row r="34" customFormat="false" ht="15" hidden="false" customHeight="false" outlineLevel="0" collapsed="false">
      <c r="B34" s="8" t="s">
        <v>564</v>
      </c>
      <c r="C34" s="28" t="n">
        <f aca="false">-C32*C33</f>
        <v>-394481.664841783</v>
      </c>
      <c r="D34" s="28" t="n">
        <f aca="false">-D32*D33</f>
        <v>-214154.233800983</v>
      </c>
      <c r="E34" s="28" t="n">
        <f aca="false">-E32*E33</f>
        <v>-30180.8059728827</v>
      </c>
      <c r="F34" s="28" t="n">
        <f aca="false">-F32*F33</f>
        <v>-30482.6140326116</v>
      </c>
      <c r="G34" s="28" t="n">
        <f aca="false">-G32*G33</f>
        <v>-30787.4401729377</v>
      </c>
      <c r="H34" s="28" t="n">
        <f aca="false">-H32*H33</f>
        <v>-31095.3145746671</v>
      </c>
      <c r="I34" s="28" t="n">
        <f aca="false">-I32*I33</f>
        <v>-31406.2677204137</v>
      </c>
      <c r="J34" s="28" t="n">
        <f aca="false">-J32*J33</f>
        <v>-31720.3303976179</v>
      </c>
      <c r="K34" s="28" t="n">
        <f aca="false">-K32*K33</f>
        <v>-32037.5337015941</v>
      </c>
      <c r="L34" s="28" t="n">
        <f aca="false">-L32*L33</f>
        <v>-32357.90903861</v>
      </c>
    </row>
    <row r="35" customFormat="false" ht="15" hidden="false" customHeight="false" outlineLevel="0" collapsed="false">
      <c r="B35" s="8" t="s">
        <v>565</v>
      </c>
      <c r="C35" s="28" t="n">
        <f aca="false">-C32*$G$9</f>
        <v>-138068.582694624</v>
      </c>
      <c r="D35" s="28" t="n">
        <f aca="false">-D32*$G$9</f>
        <v>-139449.26852157</v>
      </c>
      <c r="E35" s="28" t="n">
        <f aca="false">-E32*$G$9</f>
        <v>-140843.761206786</v>
      </c>
      <c r="F35" s="28" t="n">
        <f aca="false">-F32*$G$9</f>
        <v>-142252.198818854</v>
      </c>
      <c r="G35" s="28" t="n">
        <f aca="false">-G32*$G$9</f>
        <v>-143674.720807043</v>
      </c>
      <c r="H35" s="28" t="n">
        <f aca="false">-H32*$G$9</f>
        <v>-145111.468015113</v>
      </c>
      <c r="I35" s="28" t="n">
        <f aca="false">-I32*$G$9</f>
        <v>-146562.582695264</v>
      </c>
      <c r="J35" s="28" t="n">
        <f aca="false">-J32*$G$9</f>
        <v>-148028.208522217</v>
      </c>
      <c r="K35" s="28" t="n">
        <f aca="false">-K32*$G$9</f>
        <v>-149508.490607439</v>
      </c>
      <c r="L35" s="28" t="n">
        <f aca="false">-L32*$G$9</f>
        <v>-151003.575513513</v>
      </c>
    </row>
    <row r="36" customFormat="false" ht="15" hidden="false" customHeight="false" outlineLevel="0" collapsed="false">
      <c r="B36" s="12" t="s">
        <v>566</v>
      </c>
      <c r="C36" s="62" t="n">
        <f aca="false">C32+C34+C35</f>
        <v>453653.914568051</v>
      </c>
      <c r="D36" s="62" t="n">
        <f aca="false">D32+D34+D35</f>
        <v>642462.701402949</v>
      </c>
      <c r="E36" s="62" t="n">
        <f aca="false">E32+E34+E35</f>
        <v>835002.298583089</v>
      </c>
      <c r="F36" s="62" t="n">
        <f aca="false">F32+F34+F35</f>
        <v>843352.32156892</v>
      </c>
      <c r="G36" s="62" t="n">
        <f aca="false">G32+G34+G35</f>
        <v>851785.844784609</v>
      </c>
      <c r="H36" s="62" t="n">
        <f aca="false">H32+H34+H35</f>
        <v>860303.703232455</v>
      </c>
      <c r="I36" s="62" t="n">
        <f aca="false">I32+I34+I35</f>
        <v>868906.74026478</v>
      </c>
      <c r="J36" s="62" t="n">
        <f aca="false">J32+J34+J35</f>
        <v>877595.807667428</v>
      </c>
      <c r="K36" s="62" t="n">
        <f aca="false">K32+K34+K35</f>
        <v>886371.765744102</v>
      </c>
      <c r="L36" s="62" t="n">
        <f aca="false">L32+L34+L35</f>
        <v>895235.483401543</v>
      </c>
      <c r="M36" s="62" t="n">
        <f aca="false">SUM(C36:L36)</f>
        <v>8014670.58121793</v>
      </c>
    </row>
    <row r="37" customFormat="false" ht="15" hidden="false" customHeight="false" outlineLevel="0" collapsed="false">
      <c r="B37" s="8" t="s">
        <v>567</v>
      </c>
      <c r="C37" s="81" t="n">
        <f aca="false">IF(1&gt;08_Annahmen!$C$17,0,1/(1+$I$9)^1)</f>
        <v>0.954198473282443</v>
      </c>
      <c r="D37" s="81" t="n">
        <f aca="false">IF(2&gt;08_Annahmen!$C$17,0,1/(1+$I$9)^2)</f>
        <v>0.910494726414544</v>
      </c>
      <c r="E37" s="81" t="n">
        <f aca="false">IF(3&gt;08_Annahmen!$C$17,0,1/(1+$I$9)^3)</f>
        <v>0.868792677876474</v>
      </c>
      <c r="F37" s="81" t="n">
        <f aca="false">IF(4&gt;08_Annahmen!$C$17,0,1/(1+$I$9)^4)</f>
        <v>0.829000646828696</v>
      </c>
      <c r="G37" s="81" t="n">
        <f aca="false">IF(5&gt;08_Annahmen!$C$17,0,1/(1+$I$9)^5)</f>
        <v>0.7910311515541</v>
      </c>
      <c r="H37" s="81" t="n">
        <f aca="false">IF(6&gt;08_Annahmen!$C$17,0,1/(1+$I$9)^6)</f>
        <v>0.754800717131774</v>
      </c>
      <c r="I37" s="81" t="n">
        <f aca="false">IF(7&gt;08_Annahmen!$C$17,0,1/(1+$I$9)^7)</f>
        <v>0.720229691919632</v>
      </c>
      <c r="J37" s="81" t="n">
        <f aca="false">IF(8&gt;08_Annahmen!$C$17,0,1/(1+$I$9)^8)</f>
        <v>0.687242072442397</v>
      </c>
      <c r="K37" s="81" t="n">
        <f aca="false">IF(9&gt;08_Annahmen!$C$17,0,1/(1+$I$9)^9)</f>
        <v>0.655765336299997</v>
      </c>
      <c r="L37" s="81" t="n">
        <f aca="false">IF(10&gt;08_Annahmen!$C$17,0,1/(1+$I$9)^10)</f>
        <v>0.625730282729005</v>
      </c>
    </row>
    <row r="38" customFormat="false" ht="15" hidden="false" customHeight="false" outlineLevel="0" collapsed="false">
      <c r="B38" s="12" t="s">
        <v>568</v>
      </c>
      <c r="C38" s="28" t="n">
        <f aca="false">C36*C37</f>
        <v>432875.872679438</v>
      </c>
      <c r="D38" s="28" t="n">
        <f aca="false">D36*D37</f>
        <v>584958.901545428</v>
      </c>
      <c r="E38" s="28" t="n">
        <f aca="false">E36*E37</f>
        <v>725443.883019013</v>
      </c>
      <c r="F38" s="28" t="n">
        <f aca="false">F36*F37</f>
        <v>699139.620085117</v>
      </c>
      <c r="G38" s="28" t="n">
        <f aca="false">G36*G37</f>
        <v>673789.137677451</v>
      </c>
      <c r="H38" s="28" t="n">
        <f aca="false">H36*H37</f>
        <v>649357.852150978</v>
      </c>
      <c r="I38" s="28" t="n">
        <f aca="false">I36*I37</f>
        <v>625812.433847794</v>
      </c>
      <c r="J38" s="28" t="n">
        <f aca="false">J36*J37</f>
        <v>603120.761628122</v>
      </c>
      <c r="K38" s="28" t="n">
        <f aca="false">K36*K37</f>
        <v>581251.879050003</v>
      </c>
      <c r="L38" s="28" t="n">
        <f aca="false">L36*L37</f>
        <v>560175.952137885</v>
      </c>
      <c r="M38" s="62" t="n">
        <f aca="false">SUM(C38:L38)</f>
        <v>6135926.29382123</v>
      </c>
      <c r="N38" s="62" t="n">
        <f aca="false">$L$9</f>
        <v>14323486.3711206</v>
      </c>
    </row>
    <row r="41" customFormat="false" ht="15" hidden="false" customHeight="false" outlineLevel="0" collapsed="false">
      <c r="B41" s="5" t="s">
        <v>218</v>
      </c>
    </row>
    <row r="42" customFormat="false" ht="18" hidden="false" customHeight="true" outlineLevel="0" collapsed="false">
      <c r="B42" s="6" t="s">
        <v>550</v>
      </c>
      <c r="C42" s="7" t="s">
        <v>551</v>
      </c>
      <c r="D42" s="7" t="s">
        <v>552</v>
      </c>
      <c r="E42" s="7" t="s">
        <v>553</v>
      </c>
      <c r="F42" s="7" t="s">
        <v>554</v>
      </c>
      <c r="G42" s="7" t="s">
        <v>555</v>
      </c>
      <c r="H42" s="7" t="s">
        <v>556</v>
      </c>
      <c r="I42" s="7" t="s">
        <v>557</v>
      </c>
      <c r="J42" s="7" t="s">
        <v>558</v>
      </c>
      <c r="K42" s="7" t="s">
        <v>559</v>
      </c>
      <c r="L42" s="7" t="s">
        <v>560</v>
      </c>
      <c r="M42" s="7" t="s">
        <v>192</v>
      </c>
      <c r="N42" s="7" t="s">
        <v>561</v>
      </c>
    </row>
    <row r="43" customFormat="false" ht="15" hidden="false" customHeight="false" outlineLevel="0" collapsed="false">
      <c r="B43" s="8" t="s">
        <v>562</v>
      </c>
      <c r="C43" s="28" t="n">
        <f aca="false">IF(1&gt;08_Annahmen!$C$17,0,$C$10*(1+$D$10)^0)</f>
        <v>1221441.61901716</v>
      </c>
      <c r="D43" s="28" t="n">
        <f aca="false">IF(2&gt;08_Annahmen!$C$17,0,$C$10*(1+$D$10)^1)</f>
        <v>1233656.03520733</v>
      </c>
      <c r="E43" s="28" t="n">
        <f aca="false">IF(3&gt;08_Annahmen!$C$17,0,$C$10*(1+$D$10)^2)</f>
        <v>1245992.59555941</v>
      </c>
      <c r="F43" s="28" t="n">
        <f aca="false">IF(4&gt;08_Annahmen!$C$17,0,$C$10*(1+$D$10)^3)</f>
        <v>1258452.521515</v>
      </c>
      <c r="G43" s="28" t="n">
        <f aca="false">IF(5&gt;08_Annahmen!$C$17,0,$C$10*(1+$D$10)^4)</f>
        <v>1271037.04673015</v>
      </c>
      <c r="H43" s="28" t="n">
        <f aca="false">IF(6&gt;08_Annahmen!$C$17,0,$C$10*(1+$D$10)^5)</f>
        <v>1283747.41719745</v>
      </c>
      <c r="I43" s="28" t="n">
        <f aca="false">IF(7&gt;08_Annahmen!$C$17,0,$C$10*(1+$D$10)^6)</f>
        <v>1296584.89136943</v>
      </c>
      <c r="J43" s="28" t="n">
        <f aca="false">IF(8&gt;08_Annahmen!$C$17,0,$C$10*(1+$D$10)^7)</f>
        <v>1309550.74028312</v>
      </c>
      <c r="K43" s="28" t="n">
        <f aca="false">IF(9&gt;08_Annahmen!$C$17,0,$C$10*(1+$D$10)^8)</f>
        <v>1322646.24768595</v>
      </c>
      <c r="L43" s="28" t="n">
        <f aca="false">IF(10&gt;08_Annahmen!$C$17,0,$C$10*(1+$D$10)^9)</f>
        <v>1335872.71016281</v>
      </c>
    </row>
    <row r="44" customFormat="false" ht="15" hidden="false" customHeight="false" outlineLevel="0" collapsed="false">
      <c r="B44" s="8" t="s">
        <v>563</v>
      </c>
      <c r="C44" s="34" t="n">
        <f aca="false">$F$10</f>
        <v>0.45</v>
      </c>
      <c r="D44" s="34" t="n">
        <f aca="false">($F$10+$E$10)/2</f>
        <v>0.265</v>
      </c>
      <c r="E44" s="34" t="n">
        <f aca="false">$E$10</f>
        <v>0.08</v>
      </c>
      <c r="F44" s="34" t="n">
        <f aca="false">$E$10</f>
        <v>0.08</v>
      </c>
      <c r="G44" s="34" t="n">
        <f aca="false">$E$10</f>
        <v>0.08</v>
      </c>
      <c r="H44" s="34" t="n">
        <f aca="false">$E$10</f>
        <v>0.08</v>
      </c>
      <c r="I44" s="34" t="n">
        <f aca="false">$E$10</f>
        <v>0.08</v>
      </c>
      <c r="J44" s="34" t="n">
        <f aca="false">$E$10</f>
        <v>0.08</v>
      </c>
      <c r="K44" s="34" t="n">
        <f aca="false">$E$10</f>
        <v>0.08</v>
      </c>
      <c r="L44" s="34" t="n">
        <f aca="false">$E$10</f>
        <v>0.08</v>
      </c>
    </row>
    <row r="45" customFormat="false" ht="15" hidden="false" customHeight="false" outlineLevel="0" collapsed="false">
      <c r="B45" s="8" t="s">
        <v>564</v>
      </c>
      <c r="C45" s="28" t="n">
        <f aca="false">-C43*C44</f>
        <v>-549648.728557723</v>
      </c>
      <c r="D45" s="28" t="n">
        <f aca="false">-D43*D44</f>
        <v>-326918.849329944</v>
      </c>
      <c r="E45" s="28" t="n">
        <f aca="false">-E43*E44</f>
        <v>-99679.4076447526</v>
      </c>
      <c r="F45" s="28" t="n">
        <f aca="false">-F43*F44</f>
        <v>-100676.2017212</v>
      </c>
      <c r="G45" s="28" t="n">
        <f aca="false">-G43*G44</f>
        <v>-101682.963738412</v>
      </c>
      <c r="H45" s="28" t="n">
        <f aca="false">-H43*H44</f>
        <v>-102699.793375796</v>
      </c>
      <c r="I45" s="28" t="n">
        <f aca="false">-I43*I44</f>
        <v>-103726.791309554</v>
      </c>
      <c r="J45" s="28" t="n">
        <f aca="false">-J43*J44</f>
        <v>-104764.05922265</v>
      </c>
      <c r="K45" s="28" t="n">
        <f aca="false">-K43*K44</f>
        <v>-105811.699814876</v>
      </c>
      <c r="L45" s="28" t="n">
        <f aca="false">-L43*L44</f>
        <v>-106869.816813025</v>
      </c>
    </row>
    <row r="46" customFormat="false" ht="15" hidden="false" customHeight="false" outlineLevel="0" collapsed="false">
      <c r="B46" s="8" t="s">
        <v>565</v>
      </c>
      <c r="C46" s="28" t="n">
        <f aca="false">-C43*$G$10</f>
        <v>-268717.156183776</v>
      </c>
      <c r="D46" s="28" t="n">
        <f aca="false">-D43*$G$10</f>
        <v>-271404.327745614</v>
      </c>
      <c r="E46" s="28" t="n">
        <f aca="false">-E43*$G$10</f>
        <v>-274118.37102307</v>
      </c>
      <c r="F46" s="28" t="n">
        <f aca="false">-F43*$G$10</f>
        <v>-276859.5547333</v>
      </c>
      <c r="G46" s="28" t="n">
        <f aca="false">-G43*$G$10</f>
        <v>-279628.150280633</v>
      </c>
      <c r="H46" s="28" t="n">
        <f aca="false">-H43*$G$10</f>
        <v>-282424.43178344</v>
      </c>
      <c r="I46" s="28" t="n">
        <f aca="false">-I43*$G$10</f>
        <v>-285248.676101274</v>
      </c>
      <c r="J46" s="28" t="n">
        <f aca="false">-J43*$G$10</f>
        <v>-288101.162862287</v>
      </c>
      <c r="K46" s="28" t="n">
        <f aca="false">-K43*$G$10</f>
        <v>-290982.17449091</v>
      </c>
      <c r="L46" s="28" t="n">
        <f aca="false">-L43*$G$10</f>
        <v>-293891.996235819</v>
      </c>
    </row>
    <row r="47" customFormat="false" ht="15" hidden="false" customHeight="false" outlineLevel="0" collapsed="false">
      <c r="B47" s="12" t="s">
        <v>566</v>
      </c>
      <c r="C47" s="62" t="n">
        <f aca="false">C43+C45+C46</f>
        <v>403075.734275664</v>
      </c>
      <c r="D47" s="62" t="n">
        <f aca="false">D43+D45+D46</f>
        <v>635332.858131777</v>
      </c>
      <c r="E47" s="62" t="n">
        <f aca="false">E43+E45+E46</f>
        <v>872194.816891585</v>
      </c>
      <c r="F47" s="62" t="n">
        <f aca="false">F43+F45+F46</f>
        <v>880916.765060501</v>
      </c>
      <c r="G47" s="62" t="n">
        <f aca="false">G43+G45+G46</f>
        <v>889725.932711106</v>
      </c>
      <c r="H47" s="62" t="n">
        <f aca="false">H43+H45+H46</f>
        <v>898623.192038217</v>
      </c>
      <c r="I47" s="62" t="n">
        <f aca="false">I43+I45+I46</f>
        <v>907609.4239586</v>
      </c>
      <c r="J47" s="62" t="n">
        <f aca="false">J43+J45+J46</f>
        <v>916685.518198186</v>
      </c>
      <c r="K47" s="62" t="n">
        <f aca="false">K43+K45+K46</f>
        <v>925852.373380167</v>
      </c>
      <c r="L47" s="62" t="n">
        <f aca="false">L43+L45+L46</f>
        <v>935110.897113969</v>
      </c>
      <c r="M47" s="62" t="n">
        <f aca="false">SUM(C47:L47)</f>
        <v>8265127.51175977</v>
      </c>
    </row>
    <row r="48" customFormat="false" ht="15" hidden="false" customHeight="false" outlineLevel="0" collapsed="false">
      <c r="B48" s="8" t="s">
        <v>567</v>
      </c>
      <c r="C48" s="81" t="n">
        <f aca="false">IF(1&gt;08_Annahmen!$C$17,0,1/(1+$I$10)^1)</f>
        <v>0.941619585687382</v>
      </c>
      <c r="D48" s="81" t="n">
        <f aca="false">IF(2&gt;08_Annahmen!$C$17,0,1/(1+$I$10)^2)</f>
        <v>0.886647444150078</v>
      </c>
      <c r="E48" s="81" t="n">
        <f aca="false">IF(3&gt;08_Annahmen!$C$17,0,1/(1+$I$10)^3)</f>
        <v>0.834884599011372</v>
      </c>
      <c r="F48" s="81" t="n">
        <f aca="false">IF(4&gt;08_Annahmen!$C$17,0,1/(1+$I$10)^4)</f>
        <v>0.786143690217865</v>
      </c>
      <c r="G48" s="81" t="n">
        <f aca="false">IF(5&gt;08_Annahmen!$C$17,0,1/(1+$I$10)^5)</f>
        <v>0.740248295873695</v>
      </c>
      <c r="H48" s="81" t="n">
        <f aca="false">IF(6&gt;08_Annahmen!$C$17,0,1/(1+$I$10)^6)</f>
        <v>0.69703229366638</v>
      </c>
      <c r="I48" s="81" t="n">
        <f aca="false">IF(7&gt;08_Annahmen!$C$17,0,1/(1+$I$10)^7)</f>
        <v>0.656339259572862</v>
      </c>
      <c r="J48" s="81" t="n">
        <f aca="false">IF(8&gt;08_Annahmen!$C$17,0,1/(1+$I$10)^8)</f>
        <v>0.618021901669362</v>
      </c>
      <c r="K48" s="81" t="n">
        <f aca="false">IF(9&gt;08_Annahmen!$C$17,0,1/(1+$I$10)^9)</f>
        <v>0.581941526995633</v>
      </c>
      <c r="L48" s="81" t="n">
        <f aca="false">IF(10&gt;08_Annahmen!$C$17,0,1/(1+$I$10)^10)</f>
        <v>0.54796753954391</v>
      </c>
    </row>
    <row r="49" customFormat="false" ht="15" hidden="false" customHeight="false" outlineLevel="0" collapsed="false">
      <c r="B49" s="12" t="s">
        <v>568</v>
      </c>
      <c r="C49" s="28" t="n">
        <f aca="false">C47*C48</f>
        <v>379544.005909288</v>
      </c>
      <c r="D49" s="28" t="n">
        <f aca="false">D47*D48</f>
        <v>563316.254847104</v>
      </c>
      <c r="E49" s="28" t="n">
        <f aca="false">E47*E48</f>
        <v>728182.019960329</v>
      </c>
      <c r="F49" s="28" t="n">
        <f aca="false">F47*F48</f>
        <v>692527.156459446</v>
      </c>
      <c r="G49" s="28" t="n">
        <f aca="false">G47*G48</f>
        <v>658618.105484031</v>
      </c>
      <c r="H49" s="28" t="n">
        <f aca="false">H47*H48</f>
        <v>626369.384688202</v>
      </c>
      <c r="I49" s="28" t="n">
        <f aca="false">I47*I48</f>
        <v>595699.69730234</v>
      </c>
      <c r="J49" s="28" t="n">
        <f aca="false">J47*J48</f>
        <v>566531.727189607</v>
      </c>
      <c r="K49" s="28" t="n">
        <f aca="false">K47*K48</f>
        <v>538791.943937385</v>
      </c>
      <c r="L49" s="28" t="n">
        <f aca="false">L47*L48</f>
        <v>512410.41749224</v>
      </c>
      <c r="M49" s="62" t="n">
        <f aca="false">SUM(C49:L49)</f>
        <v>5861990.71326997</v>
      </c>
      <c r="N49" s="62" t="n">
        <f aca="false">$L$10</f>
        <v>9673542.46106846</v>
      </c>
    </row>
    <row r="52" customFormat="false" ht="15" hidden="false" customHeight="false" outlineLevel="0" collapsed="false">
      <c r="B52" s="5" t="s">
        <v>130</v>
      </c>
    </row>
    <row r="53" customFormat="false" ht="18" hidden="false" customHeight="true" outlineLevel="0" collapsed="false">
      <c r="B53" s="6" t="s">
        <v>550</v>
      </c>
      <c r="C53" s="7" t="s">
        <v>551</v>
      </c>
      <c r="D53" s="7" t="s">
        <v>552</v>
      </c>
      <c r="E53" s="7" t="s">
        <v>553</v>
      </c>
      <c r="F53" s="7" t="s">
        <v>554</v>
      </c>
      <c r="G53" s="7" t="s">
        <v>555</v>
      </c>
      <c r="H53" s="7" t="s">
        <v>556</v>
      </c>
      <c r="I53" s="7" t="s">
        <v>557</v>
      </c>
      <c r="J53" s="7" t="s">
        <v>558</v>
      </c>
      <c r="K53" s="7" t="s">
        <v>559</v>
      </c>
      <c r="L53" s="7" t="s">
        <v>560</v>
      </c>
      <c r="M53" s="7" t="s">
        <v>192</v>
      </c>
      <c r="N53" s="7" t="s">
        <v>561</v>
      </c>
    </row>
    <row r="54" customFormat="false" ht="15" hidden="false" customHeight="false" outlineLevel="0" collapsed="false">
      <c r="B54" s="8" t="s">
        <v>562</v>
      </c>
      <c r="C54" s="28" t="n">
        <f aca="false">IF(1&gt;08_Annahmen!$C$17,0,$C$11*(1+$D$11)^0)</f>
        <v>500116.078773269</v>
      </c>
      <c r="D54" s="28" t="n">
        <f aca="false">IF(2&gt;08_Annahmen!$C$17,0,$C$11*(1+$D$11)^1)</f>
        <v>501616.427009588</v>
      </c>
      <c r="E54" s="28" t="n">
        <f aca="false">IF(3&gt;08_Annahmen!$C$17,0,$C$11*(1+$D$11)^2)</f>
        <v>503121.276290617</v>
      </c>
      <c r="F54" s="28" t="n">
        <f aca="false">IF(4&gt;08_Annahmen!$C$17,0,$C$11*(1+$D$11)^3)</f>
        <v>504630.640119489</v>
      </c>
      <c r="G54" s="28" t="n">
        <f aca="false">IF(5&gt;08_Annahmen!$C$17,0,$C$11*(1+$D$11)^4)</f>
        <v>506144.532039847</v>
      </c>
      <c r="H54" s="28" t="n">
        <f aca="false">IF(6&gt;08_Annahmen!$C$17,0,$C$11*(1+$D$11)^5)</f>
        <v>507662.965635967</v>
      </c>
      <c r="I54" s="28" t="n">
        <f aca="false">IF(7&gt;08_Annahmen!$C$17,0,$C$11*(1+$D$11)^6)</f>
        <v>509185.954532875</v>
      </c>
      <c r="J54" s="28" t="n">
        <f aca="false">IF(8&gt;08_Annahmen!$C$17,0,$C$11*(1+$D$11)^7)</f>
        <v>510713.512396473</v>
      </c>
      <c r="K54" s="28" t="n">
        <f aca="false">IF(9&gt;08_Annahmen!$C$17,0,$C$11*(1+$D$11)^8)</f>
        <v>512245.652933663</v>
      </c>
      <c r="L54" s="28" t="n">
        <f aca="false">IF(10&gt;08_Annahmen!$C$17,0,$C$11*(1+$D$11)^9)</f>
        <v>513782.389892463</v>
      </c>
    </row>
    <row r="55" customFormat="false" ht="15" hidden="false" customHeight="false" outlineLevel="0" collapsed="false">
      <c r="B55" s="8" t="s">
        <v>563</v>
      </c>
      <c r="C55" s="34" t="n">
        <f aca="false">$F$11</f>
        <v>0.45</v>
      </c>
      <c r="D55" s="34" t="n">
        <f aca="false">($F$11+$E$11)/2</f>
        <v>0.255</v>
      </c>
      <c r="E55" s="34" t="n">
        <f aca="false">$E$11</f>
        <v>0.06</v>
      </c>
      <c r="F55" s="34" t="n">
        <f aca="false">$E$11</f>
        <v>0.06</v>
      </c>
      <c r="G55" s="34" t="n">
        <f aca="false">$E$11</f>
        <v>0.06</v>
      </c>
      <c r="H55" s="34" t="n">
        <f aca="false">$E$11</f>
        <v>0.06</v>
      </c>
      <c r="I55" s="34" t="n">
        <f aca="false">$E$11</f>
        <v>0.06</v>
      </c>
      <c r="J55" s="34" t="n">
        <f aca="false">$E$11</f>
        <v>0.06</v>
      </c>
      <c r="K55" s="34" t="n">
        <f aca="false">$E$11</f>
        <v>0.06</v>
      </c>
      <c r="L55" s="34" t="n">
        <f aca="false">$E$11</f>
        <v>0.06</v>
      </c>
    </row>
    <row r="56" customFormat="false" ht="15" hidden="false" customHeight="false" outlineLevel="0" collapsed="false">
      <c r="B56" s="8" t="s">
        <v>564</v>
      </c>
      <c r="C56" s="28" t="n">
        <f aca="false">-C54*C55</f>
        <v>-225052.235447971</v>
      </c>
      <c r="D56" s="28" t="n">
        <f aca="false">-D54*D55</f>
        <v>-127912.188887445</v>
      </c>
      <c r="E56" s="28" t="n">
        <f aca="false">-E54*E55</f>
        <v>-30187.276577437</v>
      </c>
      <c r="F56" s="28" t="n">
        <f aca="false">-F54*F55</f>
        <v>-30277.8384071693</v>
      </c>
      <c r="G56" s="28" t="n">
        <f aca="false">-G54*G55</f>
        <v>-30368.6719223908</v>
      </c>
      <c r="H56" s="28" t="n">
        <f aca="false">-H54*H55</f>
        <v>-30459.777938158</v>
      </c>
      <c r="I56" s="28" t="n">
        <f aca="false">-I54*I55</f>
        <v>-30551.1572719725</v>
      </c>
      <c r="J56" s="28" t="n">
        <f aca="false">-J54*J55</f>
        <v>-30642.8107437884</v>
      </c>
      <c r="K56" s="28" t="n">
        <f aca="false">-K54*K55</f>
        <v>-30734.7391760198</v>
      </c>
      <c r="L56" s="28" t="n">
        <f aca="false">-L54*L55</f>
        <v>-30826.9433935478</v>
      </c>
    </row>
    <row r="57" customFormat="false" ht="15" hidden="false" customHeight="false" outlineLevel="0" collapsed="false">
      <c r="B57" s="8" t="s">
        <v>565</v>
      </c>
      <c r="C57" s="28" t="n">
        <f aca="false">-C54*$G$11</f>
        <v>-45010.4470895942</v>
      </c>
      <c r="D57" s="28" t="n">
        <f aca="false">-D54*$G$11</f>
        <v>-45145.4784308629</v>
      </c>
      <c r="E57" s="28" t="n">
        <f aca="false">-E54*$G$11</f>
        <v>-45280.9148661555</v>
      </c>
      <c r="F57" s="28" t="n">
        <f aca="false">-F54*$G$11</f>
        <v>-45416.757610754</v>
      </c>
      <c r="G57" s="28" t="n">
        <f aca="false">-G54*$G$11</f>
        <v>-45553.0078835862</v>
      </c>
      <c r="H57" s="28" t="n">
        <f aca="false">-H54*$G$11</f>
        <v>-45689.666907237</v>
      </c>
      <c r="I57" s="28" t="n">
        <f aca="false">-I54*$G$11</f>
        <v>-45826.7359079587</v>
      </c>
      <c r="J57" s="28" t="n">
        <f aca="false">-J54*$G$11</f>
        <v>-45964.2161156826</v>
      </c>
      <c r="K57" s="28" t="n">
        <f aca="false">-K54*$G$11</f>
        <v>-46102.1087640296</v>
      </c>
      <c r="L57" s="28" t="n">
        <f aca="false">-L54*$G$11</f>
        <v>-46240.4150903217</v>
      </c>
    </row>
    <row r="58" customFormat="false" ht="15" hidden="false" customHeight="false" outlineLevel="0" collapsed="false">
      <c r="B58" s="12" t="s">
        <v>566</v>
      </c>
      <c r="C58" s="62" t="n">
        <f aca="false">C54+C56+C57</f>
        <v>230053.396235704</v>
      </c>
      <c r="D58" s="62" t="n">
        <f aca="false">D54+D56+D57</f>
        <v>328558.75969128</v>
      </c>
      <c r="E58" s="62" t="n">
        <f aca="false">E54+E56+E57</f>
        <v>427653.084847024</v>
      </c>
      <c r="F58" s="62" t="n">
        <f aca="false">F54+F56+F57</f>
        <v>428936.044101566</v>
      </c>
      <c r="G58" s="62" t="n">
        <f aca="false">G54+G56+G57</f>
        <v>430222.85223387</v>
      </c>
      <c r="H58" s="62" t="n">
        <f aca="false">H54+H56+H57</f>
        <v>431513.520790572</v>
      </c>
      <c r="I58" s="62" t="n">
        <f aca="false">I54+I56+I57</f>
        <v>432808.061352943</v>
      </c>
      <c r="J58" s="62" t="n">
        <f aca="false">J54+J56+J57</f>
        <v>434106.485537002</v>
      </c>
      <c r="K58" s="62" t="n">
        <f aca="false">K54+K56+K57</f>
        <v>435408.804993613</v>
      </c>
      <c r="L58" s="62" t="n">
        <f aca="false">L54+L56+L57</f>
        <v>436715.031408594</v>
      </c>
      <c r="M58" s="62" t="n">
        <f aca="false">SUM(C58:L58)</f>
        <v>4015976.04119217</v>
      </c>
    </row>
    <row r="59" customFormat="false" ht="15" hidden="false" customHeight="false" outlineLevel="0" collapsed="false">
      <c r="B59" s="8" t="s">
        <v>567</v>
      </c>
      <c r="C59" s="81" t="n">
        <f aca="false">IF(1&gt;08_Annahmen!$C$17,0,1/(1+$I$11)^1)</f>
        <v>0.94876660341556</v>
      </c>
      <c r="D59" s="81" t="n">
        <f aca="false">IF(2&gt;08_Annahmen!$C$17,0,1/(1+$I$11)^2)</f>
        <v>0.900158067756698</v>
      </c>
      <c r="E59" s="81" t="n">
        <f aca="false">IF(3&gt;08_Annahmen!$C$17,0,1/(1+$I$11)^3)</f>
        <v>0.854039912482636</v>
      </c>
      <c r="F59" s="81" t="n">
        <f aca="false">IF(4&gt;08_Annahmen!$C$17,0,1/(1+$I$11)^4)</f>
        <v>0.810284546947472</v>
      </c>
      <c r="G59" s="81" t="n">
        <f aca="false">IF(5&gt;08_Annahmen!$C$17,0,1/(1+$I$11)^5)</f>
        <v>0.768770917407469</v>
      </c>
      <c r="H59" s="81" t="n">
        <f aca="false">IF(6&gt;08_Annahmen!$C$17,0,1/(1+$I$11)^6)</f>
        <v>0.729384172113348</v>
      </c>
      <c r="I59" s="81" t="n">
        <f aca="false">IF(7&gt;08_Annahmen!$C$17,0,1/(1+$I$11)^7)</f>
        <v>0.692015343561051</v>
      </c>
      <c r="J59" s="81" t="n">
        <f aca="false">IF(8&gt;08_Annahmen!$C$17,0,1/(1+$I$11)^8)</f>
        <v>0.65656104702187</v>
      </c>
      <c r="K59" s="81" t="n">
        <f aca="false">IF(9&gt;08_Annahmen!$C$17,0,1/(1+$I$11)^9)</f>
        <v>0.622923194517903</v>
      </c>
      <c r="L59" s="81" t="n">
        <f aca="false">IF(10&gt;08_Annahmen!$C$17,0,1/(1+$I$11)^10)</f>
        <v>0.591008723451521</v>
      </c>
    </row>
    <row r="60" customFormat="false" ht="15" hidden="false" customHeight="false" outlineLevel="0" collapsed="false">
      <c r="B60" s="12" t="s">
        <v>568</v>
      </c>
      <c r="C60" s="28" t="n">
        <f aca="false">C58*C59</f>
        <v>218266.979350762</v>
      </c>
      <c r="D60" s="28" t="n">
        <f aca="false">D58*D59</f>
        <v>295754.81826824</v>
      </c>
      <c r="E60" s="28" t="n">
        <f aca="false">E58*E59</f>
        <v>365232.803155682</v>
      </c>
      <c r="F60" s="28" t="n">
        <f aca="false">F58*F59</f>
        <v>347560.248164278</v>
      </c>
      <c r="G60" s="28" t="n">
        <f aca="false">G58*G59</f>
        <v>330742.81680149</v>
      </c>
      <c r="H60" s="28" t="n">
        <f aca="false">H58*H59</f>
        <v>314739.132117547</v>
      </c>
      <c r="I60" s="28" t="n">
        <f aca="false">I58*I59</f>
        <v>299509.81927315</v>
      </c>
      <c r="J60" s="28" t="n">
        <f aca="false">J58*J59</f>
        <v>285017.408663159</v>
      </c>
      <c r="K60" s="28" t="n">
        <f aca="false">K58*K59</f>
        <v>271226.243727844</v>
      </c>
      <c r="L60" s="28" t="n">
        <f aca="false">L58*L59</f>
        <v>258102.393224884</v>
      </c>
      <c r="M60" s="62" t="n">
        <f aca="false">SUM(C60:L60)</f>
        <v>2986152.66274704</v>
      </c>
      <c r="N60" s="62" t="n">
        <f aca="false">$L$11</f>
        <v>4930984.76961064</v>
      </c>
    </row>
    <row r="63" customFormat="false" ht="15" hidden="false" customHeight="false" outlineLevel="0" collapsed="false">
      <c r="B63" s="5" t="s">
        <v>107</v>
      </c>
    </row>
    <row r="64" customFormat="false" ht="18" hidden="false" customHeight="true" outlineLevel="0" collapsed="false">
      <c r="B64" s="6" t="s">
        <v>550</v>
      </c>
      <c r="C64" s="7" t="s">
        <v>551</v>
      </c>
      <c r="D64" s="7" t="s">
        <v>552</v>
      </c>
      <c r="E64" s="7" t="s">
        <v>553</v>
      </c>
      <c r="F64" s="7" t="s">
        <v>554</v>
      </c>
      <c r="G64" s="7" t="s">
        <v>555</v>
      </c>
      <c r="H64" s="7" t="s">
        <v>556</v>
      </c>
      <c r="I64" s="7" t="s">
        <v>557</v>
      </c>
      <c r="J64" s="7" t="s">
        <v>558</v>
      </c>
      <c r="K64" s="7" t="s">
        <v>559</v>
      </c>
      <c r="L64" s="7" t="s">
        <v>560</v>
      </c>
      <c r="M64" s="7" t="s">
        <v>192</v>
      </c>
      <c r="N64" s="7" t="s">
        <v>561</v>
      </c>
    </row>
    <row r="65" customFormat="false" ht="15" hidden="false" customHeight="false" outlineLevel="0" collapsed="false">
      <c r="B65" s="8" t="s">
        <v>562</v>
      </c>
      <c r="C65" s="28" t="n">
        <f aca="false">IF(1&gt;08_Annahmen!$C$17,0,$C$12*(1+$D$12)^0)</f>
        <v>682125.802827693</v>
      </c>
      <c r="D65" s="28" t="n">
        <f aca="false">IF(2&gt;08_Annahmen!$C$17,0,$C$12*(1+$D$12)^1)</f>
        <v>685536.431841832</v>
      </c>
      <c r="E65" s="28" t="n">
        <f aca="false">IF(3&gt;08_Annahmen!$C$17,0,$C$12*(1+$D$12)^2)</f>
        <v>688964.114001041</v>
      </c>
      <c r="F65" s="28" t="n">
        <f aca="false">IF(4&gt;08_Annahmen!$C$17,0,$C$12*(1+$D$12)^3)</f>
        <v>692408.934571046</v>
      </c>
      <c r="G65" s="28" t="n">
        <f aca="false">IF(5&gt;08_Annahmen!$C$17,0,$C$12*(1+$D$12)^4)</f>
        <v>695870.979243901</v>
      </c>
      <c r="H65" s="28" t="n">
        <f aca="false">IF(6&gt;08_Annahmen!$C$17,0,$C$12*(1+$D$12)^5)</f>
        <v>699350.33414012</v>
      </c>
      <c r="I65" s="28" t="n">
        <f aca="false">IF(7&gt;08_Annahmen!$C$17,0,$C$12*(1+$D$12)^6)</f>
        <v>702847.085810821</v>
      </c>
      <c r="J65" s="28" t="n">
        <f aca="false">IF(8&gt;08_Annahmen!$C$17,0,$C$12*(1+$D$12)^7)</f>
        <v>706361.321239875</v>
      </c>
      <c r="K65" s="28" t="n">
        <f aca="false">IF(9&gt;08_Annahmen!$C$17,0,$C$12*(1+$D$12)^8)</f>
        <v>709893.127846074</v>
      </c>
      <c r="L65" s="28" t="n">
        <f aca="false">IF(10&gt;08_Annahmen!$C$17,0,$C$12*(1+$D$12)^9)</f>
        <v>713442.593485305</v>
      </c>
    </row>
    <row r="66" customFormat="false" ht="15" hidden="false" customHeight="false" outlineLevel="0" collapsed="false">
      <c r="B66" s="8" t="s">
        <v>563</v>
      </c>
      <c r="C66" s="34" t="n">
        <f aca="false">$F$12</f>
        <v>0.4</v>
      </c>
      <c r="D66" s="34" t="n">
        <f aca="false">($F$12+$E$12)/2</f>
        <v>0.225</v>
      </c>
      <c r="E66" s="34" t="n">
        <f aca="false">$E$12</f>
        <v>0.05</v>
      </c>
      <c r="F66" s="34" t="n">
        <f aca="false">$E$12</f>
        <v>0.05</v>
      </c>
      <c r="G66" s="34" t="n">
        <f aca="false">$E$12</f>
        <v>0.05</v>
      </c>
      <c r="H66" s="34" t="n">
        <f aca="false">$E$12</f>
        <v>0.05</v>
      </c>
      <c r="I66" s="34" t="n">
        <f aca="false">$E$12</f>
        <v>0.05</v>
      </c>
      <c r="J66" s="34" t="n">
        <f aca="false">$E$12</f>
        <v>0.05</v>
      </c>
      <c r="K66" s="34" t="n">
        <f aca="false">$E$12</f>
        <v>0.05</v>
      </c>
      <c r="L66" s="34" t="n">
        <f aca="false">$E$12</f>
        <v>0.05</v>
      </c>
    </row>
    <row r="67" customFormat="false" ht="15" hidden="false" customHeight="false" outlineLevel="0" collapsed="false">
      <c r="B67" s="8" t="s">
        <v>564</v>
      </c>
      <c r="C67" s="28" t="n">
        <f aca="false">-C65*C66</f>
        <v>-272850.321131077</v>
      </c>
      <c r="D67" s="28" t="n">
        <f aca="false">-D65*D66</f>
        <v>-154245.697164412</v>
      </c>
      <c r="E67" s="28" t="n">
        <f aca="false">-E65*E66</f>
        <v>-34448.205700052</v>
      </c>
      <c r="F67" s="28" t="n">
        <f aca="false">-F65*F66</f>
        <v>-34620.4467285523</v>
      </c>
      <c r="G67" s="28" t="n">
        <f aca="false">-G65*G66</f>
        <v>-34793.5489621951</v>
      </c>
      <c r="H67" s="28" t="n">
        <f aca="false">-H65*H66</f>
        <v>-34967.516707006</v>
      </c>
      <c r="I67" s="28" t="n">
        <f aca="false">-I65*I66</f>
        <v>-35142.3542905411</v>
      </c>
      <c r="J67" s="28" t="n">
        <f aca="false">-J65*J66</f>
        <v>-35318.0660619938</v>
      </c>
      <c r="K67" s="28" t="n">
        <f aca="false">-K65*K66</f>
        <v>-35494.6563923037</v>
      </c>
      <c r="L67" s="28" t="n">
        <f aca="false">-L65*L66</f>
        <v>-35672.1296742652</v>
      </c>
    </row>
    <row r="68" customFormat="false" ht="15" hidden="false" customHeight="false" outlineLevel="0" collapsed="false">
      <c r="B68" s="8" t="s">
        <v>565</v>
      </c>
      <c r="C68" s="28" t="n">
        <f aca="false">-C65*$G$12</f>
        <v>-54570.0642262155</v>
      </c>
      <c r="D68" s="28" t="n">
        <f aca="false">-D65*$G$12</f>
        <v>-54842.9145473465</v>
      </c>
      <c r="E68" s="28" t="n">
        <f aca="false">-E65*$G$12</f>
        <v>-55117.1291200833</v>
      </c>
      <c r="F68" s="28" t="n">
        <f aca="false">-F65*$G$12</f>
        <v>-55392.7147656837</v>
      </c>
      <c r="G68" s="28" t="n">
        <f aca="false">-G65*$G$12</f>
        <v>-55669.6783395121</v>
      </c>
      <c r="H68" s="28" t="n">
        <f aca="false">-H65*$G$12</f>
        <v>-55948.0267312096</v>
      </c>
      <c r="I68" s="28" t="n">
        <f aca="false">-I65*$G$12</f>
        <v>-56227.7668648657</v>
      </c>
      <c r="J68" s="28" t="n">
        <f aca="false">-J65*$G$12</f>
        <v>-56508.90569919</v>
      </c>
      <c r="K68" s="28" t="n">
        <f aca="false">-K65*$G$12</f>
        <v>-56791.4502276859</v>
      </c>
      <c r="L68" s="28" t="n">
        <f aca="false">-L65*$G$12</f>
        <v>-57075.4074788244</v>
      </c>
    </row>
    <row r="69" customFormat="false" ht="15" hidden="false" customHeight="false" outlineLevel="0" collapsed="false">
      <c r="B69" s="12" t="s">
        <v>566</v>
      </c>
      <c r="C69" s="62" t="n">
        <f aca="false">C65+C67+C68</f>
        <v>354705.4174704</v>
      </c>
      <c r="D69" s="62" t="n">
        <f aca="false">D65+D67+D68</f>
        <v>476447.820130073</v>
      </c>
      <c r="E69" s="62" t="n">
        <f aca="false">E65+E67+E68</f>
        <v>599398.779180905</v>
      </c>
      <c r="F69" s="62" t="n">
        <f aca="false">F65+F67+F68</f>
        <v>602395.77307681</v>
      </c>
      <c r="G69" s="62" t="n">
        <f aca="false">G65+G67+G68</f>
        <v>605407.751942194</v>
      </c>
      <c r="H69" s="62" t="n">
        <f aca="false">H65+H67+H68</f>
        <v>608434.790701905</v>
      </c>
      <c r="I69" s="62" t="n">
        <f aca="false">I65+I67+I68</f>
        <v>611476.964655414</v>
      </c>
      <c r="J69" s="62" t="n">
        <f aca="false">J65+J67+J68</f>
        <v>614534.349478691</v>
      </c>
      <c r="K69" s="62" t="n">
        <f aca="false">K65+K67+K68</f>
        <v>617607.021226085</v>
      </c>
      <c r="L69" s="62" t="n">
        <f aca="false">L65+L67+L68</f>
        <v>620695.056332215</v>
      </c>
      <c r="M69" s="62" t="n">
        <f aca="false">SUM(C69:L69)</f>
        <v>5711103.72419469</v>
      </c>
    </row>
    <row r="70" customFormat="false" ht="15" hidden="false" customHeight="false" outlineLevel="0" collapsed="false">
      <c r="B70" s="8" t="s">
        <v>567</v>
      </c>
      <c r="C70" s="81" t="n">
        <f aca="false">IF(1&gt;08_Annahmen!$C$17,0,1/(1+$I$12)^1)</f>
        <v>0.942507068803016</v>
      </c>
      <c r="D70" s="81" t="n">
        <f aca="false">IF(2&gt;08_Annahmen!$C$17,0,1/(1+$I$12)^2)</f>
        <v>0.888319574743653</v>
      </c>
      <c r="E70" s="81" t="n">
        <f aca="false">IF(3&gt;08_Annahmen!$C$17,0,1/(1+$I$12)^3)</f>
        <v>0.837247478551982</v>
      </c>
      <c r="F70" s="81" t="n">
        <f aca="false">IF(4&gt;08_Annahmen!$C$17,0,1/(1+$I$12)^4)</f>
        <v>0.789111666872745</v>
      </c>
      <c r="G70" s="81" t="n">
        <f aca="false">IF(5&gt;08_Annahmen!$C$17,0,1/(1+$I$12)^5)</f>
        <v>0.743743324102493</v>
      </c>
      <c r="H70" s="81" t="n">
        <f aca="false">IF(6&gt;08_Annahmen!$C$17,0,1/(1+$I$12)^6)</f>
        <v>0.700983340341652</v>
      </c>
      <c r="I70" s="81" t="n">
        <f aca="false">IF(7&gt;08_Annahmen!$C$17,0,1/(1+$I$12)^7)</f>
        <v>0.660681753385158</v>
      </c>
      <c r="J70" s="81" t="n">
        <f aca="false">IF(8&gt;08_Annahmen!$C$17,0,1/(1+$I$12)^8)</f>
        <v>0.622697222794682</v>
      </c>
      <c r="K70" s="81" t="n">
        <f aca="false">IF(9&gt;08_Annahmen!$C$17,0,1/(1+$I$12)^9)</f>
        <v>0.586896534207995</v>
      </c>
      <c r="L70" s="81" t="n">
        <f aca="false">IF(10&gt;08_Annahmen!$C$17,0,1/(1+$I$12)^10)</f>
        <v>0.553154132147026</v>
      </c>
    </row>
    <row r="71" customFormat="false" ht="15" hidden="false" customHeight="false" outlineLevel="0" collapsed="false">
      <c r="B71" s="12" t="s">
        <v>568</v>
      </c>
      <c r="C71" s="28" t="n">
        <f aca="false">C69*C70</f>
        <v>334312.363308577</v>
      </c>
      <c r="D71" s="28" t="n">
        <f aca="false">D69*D70</f>
        <v>423237.924965487</v>
      </c>
      <c r="E71" s="28" t="n">
        <f aca="false">E69*E70</f>
        <v>501845.116516349</v>
      </c>
      <c r="F71" s="28" t="n">
        <f aca="false">F69*F70</f>
        <v>475357.532609737</v>
      </c>
      <c r="G71" s="28" t="n">
        <f aca="false">G69*G70</f>
        <v>450267.973866905</v>
      </c>
      <c r="H71" s="28" t="n">
        <f aca="false">H69*H70</f>
        <v>426502.651966295</v>
      </c>
      <c r="I71" s="28" t="n">
        <f aca="false">I69*I70</f>
        <v>403991.673163173</v>
      </c>
      <c r="J71" s="28" t="n">
        <f aca="false">J69*J70</f>
        <v>382668.832732318</v>
      </c>
      <c r="K71" s="28" t="n">
        <f aca="false">K69*K70</f>
        <v>362471.420260112</v>
      </c>
      <c r="L71" s="28" t="n">
        <f aca="false">L69*L70</f>
        <v>343340.035213396</v>
      </c>
      <c r="M71" s="62" t="n">
        <f aca="false">SUM(C71:L71)</f>
        <v>4103995.52460235</v>
      </c>
      <c r="N71" s="62" t="n">
        <f aca="false">$L$12</f>
        <v>6000986.70242544</v>
      </c>
    </row>
    <row r="74" customFormat="false" ht="15" hidden="false" customHeight="false" outlineLevel="0" collapsed="false">
      <c r="B74" s="5" t="s">
        <v>180</v>
      </c>
    </row>
    <row r="75" customFormat="false" ht="18" hidden="false" customHeight="true" outlineLevel="0" collapsed="false">
      <c r="B75" s="6" t="s">
        <v>550</v>
      </c>
      <c r="C75" s="7" t="s">
        <v>551</v>
      </c>
      <c r="D75" s="7" t="s">
        <v>552</v>
      </c>
      <c r="E75" s="7" t="s">
        <v>553</v>
      </c>
      <c r="F75" s="7" t="s">
        <v>554</v>
      </c>
      <c r="G75" s="7" t="s">
        <v>555</v>
      </c>
      <c r="H75" s="7" t="s">
        <v>556</v>
      </c>
      <c r="I75" s="7" t="s">
        <v>557</v>
      </c>
      <c r="J75" s="7" t="s">
        <v>558</v>
      </c>
      <c r="K75" s="7" t="s">
        <v>559</v>
      </c>
      <c r="L75" s="7" t="s">
        <v>560</v>
      </c>
      <c r="M75" s="7" t="s">
        <v>192</v>
      </c>
      <c r="N75" s="7" t="s">
        <v>561</v>
      </c>
    </row>
    <row r="76" customFormat="false" ht="15" hidden="false" customHeight="false" outlineLevel="0" collapsed="false">
      <c r="B76" s="8" t="s">
        <v>562</v>
      </c>
      <c r="C76" s="28" t="n">
        <f aca="false">IF(1&gt;08_Annahmen!$C$17,0,$C$13*(1+$D$13)^0)</f>
        <v>511246.224</v>
      </c>
      <c r="D76" s="28" t="n">
        <f aca="false">IF(2&gt;08_Annahmen!$C$17,0,$C$13*(1+$D$13)^1)</f>
        <v>516358.68624</v>
      </c>
      <c r="E76" s="28" t="n">
        <f aca="false">IF(3&gt;08_Annahmen!$C$17,0,$C$13*(1+$D$13)^2)</f>
        <v>521522.2731024</v>
      </c>
      <c r="F76" s="28" t="n">
        <f aca="false">IF(4&gt;08_Annahmen!$C$17,0,$C$13*(1+$D$13)^3)</f>
        <v>526737.495833424</v>
      </c>
      <c r="G76" s="28" t="n">
        <f aca="false">IF(5&gt;08_Annahmen!$C$17,0,$C$13*(1+$D$13)^4)</f>
        <v>532004.870791758</v>
      </c>
      <c r="H76" s="28" t="n">
        <f aca="false">IF(6&gt;08_Annahmen!$C$17,0,$C$13*(1+$D$13)^5)</f>
        <v>537324.919499676</v>
      </c>
      <c r="I76" s="28" t="n">
        <f aca="false">IF(7&gt;08_Annahmen!$C$17,0,$C$13*(1+$D$13)^6)</f>
        <v>542698.168694673</v>
      </c>
      <c r="J76" s="28" t="n">
        <f aca="false">IF(8&gt;08_Annahmen!$C$17,0,$C$13*(1+$D$13)^7)</f>
        <v>548125.150381619</v>
      </c>
      <c r="K76" s="28" t="n">
        <f aca="false">IF(9&gt;08_Annahmen!$C$17,0,$C$13*(1+$D$13)^8)</f>
        <v>553606.401885436</v>
      </c>
      <c r="L76" s="28" t="n">
        <f aca="false">IF(10&gt;08_Annahmen!$C$17,0,$C$13*(1+$D$13)^9)</f>
        <v>559142.46590429</v>
      </c>
    </row>
    <row r="77" customFormat="false" ht="15" hidden="false" customHeight="false" outlineLevel="0" collapsed="false">
      <c r="B77" s="8" t="s">
        <v>563</v>
      </c>
      <c r="C77" s="34" t="n">
        <f aca="false">$F$13</f>
        <v>0.4</v>
      </c>
      <c r="D77" s="34" t="n">
        <f aca="false">($F$13+$E$13)/2</f>
        <v>0.225</v>
      </c>
      <c r="E77" s="34" t="n">
        <f aca="false">$E$13</f>
        <v>0.05</v>
      </c>
      <c r="F77" s="34" t="n">
        <f aca="false">$E$13</f>
        <v>0.05</v>
      </c>
      <c r="G77" s="34" t="n">
        <f aca="false">$E$13</f>
        <v>0.05</v>
      </c>
      <c r="H77" s="34" t="n">
        <f aca="false">$E$13</f>
        <v>0.05</v>
      </c>
      <c r="I77" s="34" t="n">
        <f aca="false">$E$13</f>
        <v>0.05</v>
      </c>
      <c r="J77" s="34" t="n">
        <f aca="false">$E$13</f>
        <v>0.05</v>
      </c>
      <c r="K77" s="34" t="n">
        <f aca="false">$E$13</f>
        <v>0.05</v>
      </c>
      <c r="L77" s="34" t="n">
        <f aca="false">$E$13</f>
        <v>0.05</v>
      </c>
    </row>
    <row r="78" customFormat="false" ht="15" hidden="false" customHeight="false" outlineLevel="0" collapsed="false">
      <c r="B78" s="8" t="s">
        <v>564</v>
      </c>
      <c r="C78" s="28" t="n">
        <f aca="false">-C76*C77</f>
        <v>-204498.4896</v>
      </c>
      <c r="D78" s="28" t="n">
        <f aca="false">-D76*D77</f>
        <v>-116180.704404</v>
      </c>
      <c r="E78" s="28" t="n">
        <f aca="false">-E76*E77</f>
        <v>-26076.11365512</v>
      </c>
      <c r="F78" s="28" t="n">
        <f aca="false">-F76*F77</f>
        <v>-26336.8747916712</v>
      </c>
      <c r="G78" s="28" t="n">
        <f aca="false">-G76*G77</f>
        <v>-26600.2435395879</v>
      </c>
      <c r="H78" s="28" t="n">
        <f aca="false">-H76*H77</f>
        <v>-26866.2459749838</v>
      </c>
      <c r="I78" s="28" t="n">
        <f aca="false">-I76*I77</f>
        <v>-27134.9084347336</v>
      </c>
      <c r="J78" s="28" t="n">
        <f aca="false">-J76*J77</f>
        <v>-27406.257519081</v>
      </c>
      <c r="K78" s="28" t="n">
        <f aca="false">-K76*K77</f>
        <v>-27680.3200942718</v>
      </c>
      <c r="L78" s="28" t="n">
        <f aca="false">-L76*L77</f>
        <v>-27957.1232952145</v>
      </c>
    </row>
    <row r="79" customFormat="false" ht="15" hidden="false" customHeight="false" outlineLevel="0" collapsed="false">
      <c r="B79" s="8" t="s">
        <v>565</v>
      </c>
      <c r="C79" s="28" t="n">
        <f aca="false">-C76*$G$13</f>
        <v>-40899.69792</v>
      </c>
      <c r="D79" s="28" t="n">
        <f aca="false">-D76*$G$13</f>
        <v>-41308.6948992</v>
      </c>
      <c r="E79" s="28" t="n">
        <f aca="false">-E76*$G$13</f>
        <v>-41721.781848192</v>
      </c>
      <c r="F79" s="28" t="n">
        <f aca="false">-F76*$G$13</f>
        <v>-42138.9996666739</v>
      </c>
      <c r="G79" s="28" t="n">
        <f aca="false">-G76*$G$13</f>
        <v>-42560.3896633407</v>
      </c>
      <c r="H79" s="28" t="n">
        <f aca="false">-H76*$G$13</f>
        <v>-42985.9935599741</v>
      </c>
      <c r="I79" s="28" t="n">
        <f aca="false">-I76*$G$13</f>
        <v>-43415.8534955738</v>
      </c>
      <c r="J79" s="28" t="n">
        <f aca="false">-J76*$G$13</f>
        <v>-43850.0120305295</v>
      </c>
      <c r="K79" s="28" t="n">
        <f aca="false">-K76*$G$13</f>
        <v>-44288.5121508348</v>
      </c>
      <c r="L79" s="28" t="n">
        <f aca="false">-L76*$G$13</f>
        <v>-44731.3972723432</v>
      </c>
    </row>
    <row r="80" customFormat="false" ht="15" hidden="false" customHeight="false" outlineLevel="0" collapsed="false">
      <c r="B80" s="12" t="s">
        <v>566</v>
      </c>
      <c r="C80" s="62" t="n">
        <f aca="false">C76+C78+C79</f>
        <v>265848.03648</v>
      </c>
      <c r="D80" s="62" t="n">
        <f aca="false">D76+D78+D79</f>
        <v>358869.2869368</v>
      </c>
      <c r="E80" s="62" t="n">
        <f aca="false">E76+E78+E79</f>
        <v>453724.377599088</v>
      </c>
      <c r="F80" s="62" t="n">
        <f aca="false">F76+F78+F79</f>
        <v>458261.621375079</v>
      </c>
      <c r="G80" s="62" t="n">
        <f aca="false">G76+G78+G79</f>
        <v>462844.23758883</v>
      </c>
      <c r="H80" s="62" t="n">
        <f aca="false">H76+H78+H79</f>
        <v>467472.679964718</v>
      </c>
      <c r="I80" s="62" t="n">
        <f aca="false">I76+I78+I79</f>
        <v>472147.406764365</v>
      </c>
      <c r="J80" s="62" t="n">
        <f aca="false">J76+J78+J79</f>
        <v>476868.880832009</v>
      </c>
      <c r="K80" s="62" t="n">
        <f aca="false">K76+K78+K79</f>
        <v>481637.569640329</v>
      </c>
      <c r="L80" s="62" t="n">
        <f aca="false">L76+L78+L79</f>
        <v>486453.945336732</v>
      </c>
      <c r="M80" s="62" t="n">
        <f aca="false">SUM(C80:L80)</f>
        <v>4384128.04251795</v>
      </c>
    </row>
    <row r="81" customFormat="false" ht="15" hidden="false" customHeight="false" outlineLevel="0" collapsed="false">
      <c r="B81" s="8" t="s">
        <v>567</v>
      </c>
      <c r="C81" s="81" t="n">
        <f aca="false">IF(1&gt;08_Annahmen!$C$17,0,1/(1+$I$13)^1)</f>
        <v>0.947867298578199</v>
      </c>
      <c r="D81" s="81" t="n">
        <f aca="false">IF(2&gt;08_Annahmen!$C$17,0,1/(1+$I$13)^2)</f>
        <v>0.898452415713933</v>
      </c>
      <c r="E81" s="81" t="n">
        <f aca="false">IF(3&gt;08_Annahmen!$C$17,0,1/(1+$I$13)^3)</f>
        <v>0.851613664183823</v>
      </c>
      <c r="F81" s="81" t="n">
        <f aca="false">IF(4&gt;08_Annahmen!$C$17,0,1/(1+$I$13)^4)</f>
        <v>0.807216743302202</v>
      </c>
      <c r="G81" s="81" t="n">
        <f aca="false">IF(5&gt;08_Annahmen!$C$17,0,1/(1+$I$13)^5)</f>
        <v>0.765134353840949</v>
      </c>
      <c r="H81" s="81" t="n">
        <f aca="false">IF(6&gt;08_Annahmen!$C$17,0,1/(1+$I$13)^6)</f>
        <v>0.725245833024597</v>
      </c>
      <c r="I81" s="81" t="n">
        <f aca="false">IF(7&gt;08_Annahmen!$C$17,0,1/(1+$I$13)^7)</f>
        <v>0.68743680855412</v>
      </c>
      <c r="J81" s="81" t="n">
        <f aca="false">IF(8&gt;08_Annahmen!$C$17,0,1/(1+$I$13)^8)</f>
        <v>0.651598870667413</v>
      </c>
      <c r="K81" s="81" t="n">
        <f aca="false">IF(9&gt;08_Annahmen!$C$17,0,1/(1+$I$13)^9)</f>
        <v>0.617629261296126</v>
      </c>
      <c r="L81" s="81" t="n">
        <f aca="false">IF(10&gt;08_Annahmen!$C$17,0,1/(1+$I$13)^10)</f>
        <v>0.585430579427607</v>
      </c>
    </row>
    <row r="82" customFormat="false" ht="15" hidden="false" customHeight="false" outlineLevel="0" collapsed="false">
      <c r="B82" s="12" t="s">
        <v>568</v>
      </c>
      <c r="C82" s="28" t="n">
        <f aca="false">C80*C81</f>
        <v>251988.660170616</v>
      </c>
      <c r="D82" s="28" t="n">
        <f aca="false">D80*D81</f>
        <v>322426.977773905</v>
      </c>
      <c r="E82" s="28" t="n">
        <f aca="false">E80*E81</f>
        <v>386397.879736684</v>
      </c>
      <c r="F82" s="28" t="n">
        <f aca="false">F80*F81</f>
        <v>369916.453586778</v>
      </c>
      <c r="G82" s="28" t="n">
        <f aca="false">G80*G81</f>
        <v>354138.026656536</v>
      </c>
      <c r="H82" s="28" t="n">
        <f aca="false">H80*H81</f>
        <v>339032.613197253</v>
      </c>
      <c r="I82" s="28" t="n">
        <f aca="false">I80*I81</f>
        <v>324571.506473199</v>
      </c>
      <c r="J82" s="28" t="n">
        <f aca="false">J80*J81</f>
        <v>310727.22420657</v>
      </c>
      <c r="K82" s="28" t="n">
        <f aca="false">K80*K81</f>
        <v>297473.456349418</v>
      </c>
      <c r="L82" s="28" t="n">
        <f aca="false">L80*L81</f>
        <v>284785.015083329</v>
      </c>
      <c r="M82" s="62" t="n">
        <f aca="false">SUM(C82:L82)</f>
        <v>3241457.81323429</v>
      </c>
      <c r="N82" s="62" t="n">
        <f aca="false">$L$13</f>
        <v>6185653.01578843</v>
      </c>
    </row>
    <row r="85" customFormat="false" ht="15" hidden="false" customHeight="false" outlineLevel="0" collapsed="false">
      <c r="B85" s="5" t="s">
        <v>197</v>
      </c>
    </row>
    <row r="86" customFormat="false" ht="18" hidden="false" customHeight="true" outlineLevel="0" collapsed="false">
      <c r="B86" s="6" t="s">
        <v>550</v>
      </c>
      <c r="C86" s="7" t="s">
        <v>551</v>
      </c>
      <c r="D86" s="7" t="s">
        <v>552</v>
      </c>
      <c r="E86" s="7" t="s">
        <v>553</v>
      </c>
      <c r="F86" s="7" t="s">
        <v>554</v>
      </c>
      <c r="G86" s="7" t="s">
        <v>555</v>
      </c>
      <c r="H86" s="7" t="s">
        <v>556</v>
      </c>
      <c r="I86" s="7" t="s">
        <v>557</v>
      </c>
      <c r="J86" s="7" t="s">
        <v>558</v>
      </c>
      <c r="K86" s="7" t="s">
        <v>559</v>
      </c>
      <c r="L86" s="7" t="s">
        <v>560</v>
      </c>
      <c r="M86" s="7" t="s">
        <v>192</v>
      </c>
      <c r="N86" s="7" t="s">
        <v>561</v>
      </c>
    </row>
    <row r="87" customFormat="false" ht="15" hidden="false" customHeight="false" outlineLevel="0" collapsed="false">
      <c r="B87" s="8" t="s">
        <v>562</v>
      </c>
      <c r="C87" s="28" t="n">
        <f aca="false">IF(1&gt;08_Annahmen!$C$17,0,$C$14*(1+$D$14)^0)</f>
        <v>580000</v>
      </c>
      <c r="D87" s="28" t="n">
        <f aca="false">IF(2&gt;08_Annahmen!$C$17,0,$C$14*(1+$D$14)^1)</f>
        <v>582900</v>
      </c>
      <c r="E87" s="28" t="n">
        <f aca="false">IF(3&gt;08_Annahmen!$C$17,0,$C$14*(1+$D$14)^2)</f>
        <v>585814.5</v>
      </c>
      <c r="F87" s="28" t="n">
        <f aca="false">IF(4&gt;08_Annahmen!$C$17,0,$C$14*(1+$D$14)^3)</f>
        <v>588743.5725</v>
      </c>
      <c r="G87" s="28" t="n">
        <f aca="false">IF(5&gt;08_Annahmen!$C$17,0,$C$14*(1+$D$14)^4)</f>
        <v>591687.2903625</v>
      </c>
      <c r="H87" s="28" t="n">
        <f aca="false">IF(6&gt;08_Annahmen!$C$17,0,$C$14*(1+$D$14)^5)</f>
        <v>594645.726814312</v>
      </c>
      <c r="I87" s="28" t="n">
        <f aca="false">IF(7&gt;08_Annahmen!$C$17,0,$C$14*(1+$D$14)^6)</f>
        <v>597618.955448384</v>
      </c>
      <c r="J87" s="28" t="n">
        <f aca="false">IF(8&gt;08_Annahmen!$C$17,0,$C$14*(1+$D$14)^7)</f>
        <v>600607.050225626</v>
      </c>
      <c r="K87" s="28" t="n">
        <f aca="false">IF(9&gt;08_Annahmen!$C$17,0,$C$14*(1+$D$14)^8)</f>
        <v>603610.085476754</v>
      </c>
      <c r="L87" s="28" t="n">
        <f aca="false">IF(10&gt;08_Annahmen!$C$17,0,$C$14*(1+$D$14)^9)</f>
        <v>606628.135904137</v>
      </c>
    </row>
    <row r="88" customFormat="false" ht="15" hidden="false" customHeight="false" outlineLevel="0" collapsed="false">
      <c r="B88" s="8" t="s">
        <v>563</v>
      </c>
      <c r="C88" s="34" t="n">
        <f aca="false">$F$14</f>
        <v>0.5</v>
      </c>
      <c r="D88" s="34" t="n">
        <f aca="false">($F$14+$E$14)/2</f>
        <v>0.3</v>
      </c>
      <c r="E88" s="34" t="n">
        <f aca="false">$E$14</f>
        <v>0.1</v>
      </c>
      <c r="F88" s="34" t="n">
        <f aca="false">$E$14</f>
        <v>0.1</v>
      </c>
      <c r="G88" s="34" t="n">
        <f aca="false">$E$14</f>
        <v>0.1</v>
      </c>
      <c r="H88" s="34" t="n">
        <f aca="false">$E$14</f>
        <v>0.1</v>
      </c>
      <c r="I88" s="34" t="n">
        <f aca="false">$E$14</f>
        <v>0.1</v>
      </c>
      <c r="J88" s="34" t="n">
        <f aca="false">$E$14</f>
        <v>0.1</v>
      </c>
      <c r="K88" s="34" t="n">
        <f aca="false">$E$14</f>
        <v>0.1</v>
      </c>
      <c r="L88" s="34" t="n">
        <f aca="false">$E$14</f>
        <v>0.1</v>
      </c>
    </row>
    <row r="89" customFormat="false" ht="15" hidden="false" customHeight="false" outlineLevel="0" collapsed="false">
      <c r="B89" s="8" t="s">
        <v>564</v>
      </c>
      <c r="C89" s="28" t="n">
        <f aca="false">-C87*C88</f>
        <v>-290000</v>
      </c>
      <c r="D89" s="28" t="n">
        <f aca="false">-D87*D88</f>
        <v>-174870</v>
      </c>
      <c r="E89" s="28" t="n">
        <f aca="false">-E87*E88</f>
        <v>-58581.45</v>
      </c>
      <c r="F89" s="28" t="n">
        <f aca="false">-F87*F88</f>
        <v>-58874.35725</v>
      </c>
      <c r="G89" s="28" t="n">
        <f aca="false">-G87*G88</f>
        <v>-59168.72903625</v>
      </c>
      <c r="H89" s="28" t="n">
        <f aca="false">-H87*H88</f>
        <v>-59464.5726814312</v>
      </c>
      <c r="I89" s="28" t="n">
        <f aca="false">-I87*I88</f>
        <v>-59761.8955448384</v>
      </c>
      <c r="J89" s="28" t="n">
        <f aca="false">-J87*J88</f>
        <v>-60060.7050225626</v>
      </c>
      <c r="K89" s="28" t="n">
        <f aca="false">-K87*K88</f>
        <v>-60361.0085476754</v>
      </c>
      <c r="L89" s="28" t="n">
        <f aca="false">-L87*L88</f>
        <v>-60662.8135904137</v>
      </c>
    </row>
    <row r="90" customFormat="false" ht="15" hidden="false" customHeight="false" outlineLevel="0" collapsed="false">
      <c r="B90" s="8" t="s">
        <v>565</v>
      </c>
      <c r="C90" s="28" t="n">
        <f aca="false">-C87*$G$14</f>
        <v>-203000</v>
      </c>
      <c r="D90" s="28" t="n">
        <f aca="false">-D87*$G$14</f>
        <v>-204015</v>
      </c>
      <c r="E90" s="28" t="n">
        <f aca="false">-E87*$G$14</f>
        <v>-205035.075</v>
      </c>
      <c r="F90" s="28" t="n">
        <f aca="false">-F87*$G$14</f>
        <v>-206060.250375</v>
      </c>
      <c r="G90" s="28" t="n">
        <f aca="false">-G87*$G$14</f>
        <v>-207090.551626875</v>
      </c>
      <c r="H90" s="28" t="n">
        <f aca="false">-H87*$G$14</f>
        <v>-208126.004385009</v>
      </c>
      <c r="I90" s="28" t="n">
        <f aca="false">-I87*$G$14</f>
        <v>-209166.634406934</v>
      </c>
      <c r="J90" s="28" t="n">
        <f aca="false">-J87*$G$14</f>
        <v>-210212.467578969</v>
      </c>
      <c r="K90" s="28" t="n">
        <f aca="false">-K87*$G$14</f>
        <v>-211263.529916864</v>
      </c>
      <c r="L90" s="28" t="n">
        <f aca="false">-L87*$G$14</f>
        <v>-212319.847566448</v>
      </c>
    </row>
    <row r="91" customFormat="false" ht="15" hidden="false" customHeight="false" outlineLevel="0" collapsed="false">
      <c r="B91" s="12" t="s">
        <v>566</v>
      </c>
      <c r="C91" s="62" t="n">
        <f aca="false">C87+C89+C90</f>
        <v>87000</v>
      </c>
      <c r="D91" s="62" t="n">
        <f aca="false">D87+D89+D90</f>
        <v>204015</v>
      </c>
      <c r="E91" s="62" t="n">
        <f aca="false">E87+E89+E90</f>
        <v>322197.975</v>
      </c>
      <c r="F91" s="62" t="n">
        <f aca="false">F87+F89+F90</f>
        <v>323808.964875</v>
      </c>
      <c r="G91" s="62" t="n">
        <f aca="false">G87+G89+G90</f>
        <v>325428.009699375</v>
      </c>
      <c r="H91" s="62" t="n">
        <f aca="false">H87+H89+H90</f>
        <v>327055.149747872</v>
      </c>
      <c r="I91" s="62" t="n">
        <f aca="false">I87+I89+I90</f>
        <v>328690.425496611</v>
      </c>
      <c r="J91" s="62" t="n">
        <f aca="false">J87+J89+J90</f>
        <v>330333.877624094</v>
      </c>
      <c r="K91" s="62" t="n">
        <f aca="false">K87+K89+K90</f>
        <v>331985.547012215</v>
      </c>
      <c r="L91" s="62" t="n">
        <f aca="false">L87+L89+L90</f>
        <v>333645.474747275</v>
      </c>
      <c r="M91" s="62" t="n">
        <f aca="false">SUM(C91:L91)</f>
        <v>2914160.42420244</v>
      </c>
    </row>
    <row r="92" customFormat="false" ht="15" hidden="false" customHeight="false" outlineLevel="0" collapsed="false">
      <c r="B92" s="8" t="s">
        <v>567</v>
      </c>
      <c r="C92" s="81" t="n">
        <f aca="false">IF(1&gt;08_Annahmen!$C$17,0,1/(1+$I$14)^1)</f>
        <v>0.933706816059757</v>
      </c>
      <c r="D92" s="81" t="n">
        <f aca="false">IF(2&gt;08_Annahmen!$C$17,0,1/(1+$I$14)^2)</f>
        <v>0.871808418356449</v>
      </c>
      <c r="E92" s="81" t="n">
        <f aca="false">IF(3&gt;08_Annahmen!$C$17,0,1/(1+$I$14)^3)</f>
        <v>0.814013462517693</v>
      </c>
      <c r="F92" s="81" t="n">
        <f aca="false">IF(4&gt;08_Annahmen!$C$17,0,1/(1+$I$14)^4)</f>
        <v>0.760049918317174</v>
      </c>
      <c r="G92" s="81" t="n">
        <f aca="false">IF(5&gt;08_Annahmen!$C$17,0,1/(1+$I$14)^5)</f>
        <v>0.709663789278407</v>
      </c>
      <c r="H92" s="81" t="n">
        <f aca="false">IF(6&gt;08_Annahmen!$C$17,0,1/(1+$I$14)^6)</f>
        <v>0.662617917160044</v>
      </c>
      <c r="I92" s="81" t="n">
        <f aca="false">IF(7&gt;08_Annahmen!$C$17,0,1/(1+$I$14)^7)</f>
        <v>0.618690865695653</v>
      </c>
      <c r="J92" s="81" t="n">
        <f aca="false">IF(8&gt;08_Annahmen!$C$17,0,1/(1+$I$14)^8)</f>
        <v>0.577675878333943</v>
      </c>
      <c r="K92" s="81" t="n">
        <f aca="false">IF(9&gt;08_Annahmen!$C$17,0,1/(1+$I$14)^9)</f>
        <v>0.539379905073709</v>
      </c>
      <c r="L92" s="81" t="n">
        <f aca="false">IF(10&gt;08_Annahmen!$C$17,0,1/(1+$I$14)^10)</f>
        <v>0.503622693812987</v>
      </c>
    </row>
    <row r="93" customFormat="false" ht="15" hidden="false" customHeight="false" outlineLevel="0" collapsed="false">
      <c r="B93" s="12" t="s">
        <v>568</v>
      </c>
      <c r="C93" s="28" t="n">
        <f aca="false">C91*C92</f>
        <v>81232.4929971989</v>
      </c>
      <c r="D93" s="28" t="n">
        <f aca="false">D91*D92</f>
        <v>177861.994470991</v>
      </c>
      <c r="E93" s="28" t="n">
        <f aca="false">E91*E92</f>
        <v>262273.489245939</v>
      </c>
      <c r="F93" s="28" t="n">
        <f aca="false">F91*F92</f>
        <v>246110.977303612</v>
      </c>
      <c r="G93" s="28" t="n">
        <f aca="false">G91*G92</f>
        <v>230944.474500589</v>
      </c>
      <c r="H93" s="28" t="n">
        <f aca="false">H91*H92</f>
        <v>216712.602122401</v>
      </c>
      <c r="I93" s="28" t="n">
        <f aca="false">I91*I92</f>
        <v>203357.763896371</v>
      </c>
      <c r="J93" s="28" t="n">
        <f aca="false">J91*J92</f>
        <v>190825.912899956</v>
      </c>
      <c r="K93" s="28" t="n">
        <f aca="false">K91*K92</f>
        <v>179066.332833292</v>
      </c>
      <c r="L93" s="28" t="n">
        <f aca="false">L91*L92</f>
        <v>168031.432770736</v>
      </c>
      <c r="M93" s="62" t="n">
        <f aca="false">SUM(C93:L93)</f>
        <v>1956417.47304108</v>
      </c>
      <c r="N93" s="62" t="n">
        <f aca="false">$L$14</f>
        <v>2501801.33236429</v>
      </c>
    </row>
    <row r="96" customFormat="false" ht="15" hidden="false" customHeight="false" outlineLevel="0" collapsed="false">
      <c r="B96" s="5" t="s">
        <v>198</v>
      </c>
    </row>
    <row r="97" customFormat="false" ht="18" hidden="false" customHeight="true" outlineLevel="0" collapsed="false">
      <c r="B97" s="6" t="s">
        <v>550</v>
      </c>
      <c r="C97" s="7" t="s">
        <v>551</v>
      </c>
      <c r="D97" s="7" t="s">
        <v>552</v>
      </c>
      <c r="E97" s="7" t="s">
        <v>553</v>
      </c>
      <c r="F97" s="7" t="s">
        <v>554</v>
      </c>
      <c r="G97" s="7" t="s">
        <v>555</v>
      </c>
      <c r="H97" s="7" t="s">
        <v>556</v>
      </c>
      <c r="I97" s="7" t="s">
        <v>557</v>
      </c>
      <c r="J97" s="7" t="s">
        <v>558</v>
      </c>
      <c r="K97" s="7" t="s">
        <v>559</v>
      </c>
      <c r="L97" s="7" t="s">
        <v>560</v>
      </c>
      <c r="M97" s="7" t="s">
        <v>192</v>
      </c>
      <c r="N97" s="7" t="s">
        <v>561</v>
      </c>
    </row>
    <row r="98" customFormat="false" ht="15" hidden="false" customHeight="false" outlineLevel="0" collapsed="false">
      <c r="B98" s="8" t="s">
        <v>562</v>
      </c>
      <c r="C98" s="28" t="n">
        <f aca="false">IF(1&gt;08_Annahmen!$C$17,0,$C$15*(1+$D$15)^0)</f>
        <v>385680</v>
      </c>
      <c r="D98" s="28" t="n">
        <f aca="false">IF(2&gt;08_Annahmen!$C$17,0,$C$15*(1+$D$15)^1)</f>
        <v>389536.8</v>
      </c>
      <c r="E98" s="28" t="n">
        <f aca="false">IF(3&gt;08_Annahmen!$C$17,0,$C$15*(1+$D$15)^2)</f>
        <v>393432.168</v>
      </c>
      <c r="F98" s="28" t="n">
        <f aca="false">IF(4&gt;08_Annahmen!$C$17,0,$C$15*(1+$D$15)^3)</f>
        <v>397366.48968</v>
      </c>
      <c r="G98" s="28" t="n">
        <f aca="false">IF(5&gt;08_Annahmen!$C$17,0,$C$15*(1+$D$15)^4)</f>
        <v>401340.1545768</v>
      </c>
      <c r="H98" s="28" t="n">
        <f aca="false">IF(6&gt;08_Annahmen!$C$17,0,$C$15*(1+$D$15)^5)</f>
        <v>405353.556122568</v>
      </c>
      <c r="I98" s="28" t="n">
        <f aca="false">IF(7&gt;08_Annahmen!$C$17,0,$C$15*(1+$D$15)^6)</f>
        <v>409407.091683794</v>
      </c>
      <c r="J98" s="28" t="n">
        <f aca="false">IF(8&gt;08_Annahmen!$C$17,0,$C$15*(1+$D$15)^7)</f>
        <v>413501.162600632</v>
      </c>
      <c r="K98" s="28" t="n">
        <f aca="false">IF(9&gt;08_Annahmen!$C$17,0,$C$15*(1+$D$15)^8)</f>
        <v>417636.174226638</v>
      </c>
      <c r="L98" s="28" t="n">
        <f aca="false">IF(10&gt;08_Annahmen!$C$17,0,$C$15*(1+$D$15)^9)</f>
        <v>421812.535968904</v>
      </c>
    </row>
    <row r="99" customFormat="false" ht="15" hidden="false" customHeight="false" outlineLevel="0" collapsed="false">
      <c r="B99" s="8" t="s">
        <v>563</v>
      </c>
      <c r="C99" s="34" t="n">
        <f aca="false">$F$15</f>
        <v>0.4</v>
      </c>
      <c r="D99" s="34" t="n">
        <f aca="false">($F$15+$E$15)/2</f>
        <v>0.225</v>
      </c>
      <c r="E99" s="34" t="n">
        <f aca="false">$E$15</f>
        <v>0.05</v>
      </c>
      <c r="F99" s="34" t="n">
        <f aca="false">$E$15</f>
        <v>0.05</v>
      </c>
      <c r="G99" s="34" t="n">
        <f aca="false">$E$15</f>
        <v>0.05</v>
      </c>
      <c r="H99" s="34" t="n">
        <f aca="false">$E$15</f>
        <v>0.05</v>
      </c>
      <c r="I99" s="34" t="n">
        <f aca="false">$E$15</f>
        <v>0.05</v>
      </c>
      <c r="J99" s="34" t="n">
        <f aca="false">$E$15</f>
        <v>0.05</v>
      </c>
      <c r="K99" s="34" t="n">
        <f aca="false">$E$15</f>
        <v>0.05</v>
      </c>
      <c r="L99" s="34" t="n">
        <f aca="false">$E$15</f>
        <v>0.05</v>
      </c>
    </row>
    <row r="100" customFormat="false" ht="15" hidden="false" customHeight="false" outlineLevel="0" collapsed="false">
      <c r="B100" s="8" t="s">
        <v>564</v>
      </c>
      <c r="C100" s="28" t="n">
        <f aca="false">-C98*C99</f>
        <v>-154272</v>
      </c>
      <c r="D100" s="28" t="n">
        <f aca="false">-D98*D99</f>
        <v>-87645.78</v>
      </c>
      <c r="E100" s="28" t="n">
        <f aca="false">-E98*E99</f>
        <v>-19671.6084</v>
      </c>
      <c r="F100" s="28" t="n">
        <f aca="false">-F98*F99</f>
        <v>-19868.324484</v>
      </c>
      <c r="G100" s="28" t="n">
        <f aca="false">-G98*G99</f>
        <v>-20067.00772884</v>
      </c>
      <c r="H100" s="28" t="n">
        <f aca="false">-H98*H99</f>
        <v>-20267.6778061284</v>
      </c>
      <c r="I100" s="28" t="n">
        <f aca="false">-I98*I99</f>
        <v>-20470.3545841897</v>
      </c>
      <c r="J100" s="28" t="n">
        <f aca="false">-J98*J99</f>
        <v>-20675.0581300316</v>
      </c>
      <c r="K100" s="28" t="n">
        <f aca="false">-K98*K99</f>
        <v>-20881.8087113319</v>
      </c>
      <c r="L100" s="28" t="n">
        <f aca="false">-L98*L99</f>
        <v>-21090.6267984452</v>
      </c>
    </row>
    <row r="101" customFormat="false" ht="15" hidden="false" customHeight="false" outlineLevel="0" collapsed="false">
      <c r="B101" s="8" t="s">
        <v>565</v>
      </c>
      <c r="C101" s="28" t="n">
        <f aca="false">-C98*$G$15</f>
        <v>-69422.4</v>
      </c>
      <c r="D101" s="28" t="n">
        <f aca="false">-D98*$G$15</f>
        <v>-70116.624</v>
      </c>
      <c r="E101" s="28" t="n">
        <f aca="false">-E98*$G$15</f>
        <v>-70817.79024</v>
      </c>
      <c r="F101" s="28" t="n">
        <f aca="false">-F98*$G$15</f>
        <v>-71525.9681424</v>
      </c>
      <c r="G101" s="28" t="n">
        <f aca="false">-G98*$G$15</f>
        <v>-72241.227823824</v>
      </c>
      <c r="H101" s="28" t="n">
        <f aca="false">-H98*$G$15</f>
        <v>-72963.6401020622</v>
      </c>
      <c r="I101" s="28" t="n">
        <f aca="false">-I98*$G$15</f>
        <v>-73693.2765030829</v>
      </c>
      <c r="J101" s="28" t="n">
        <f aca="false">-J98*$G$15</f>
        <v>-74430.2092681137</v>
      </c>
      <c r="K101" s="28" t="n">
        <f aca="false">-K98*$G$15</f>
        <v>-75174.5113607948</v>
      </c>
      <c r="L101" s="28" t="n">
        <f aca="false">-L98*$G$15</f>
        <v>-75926.2564744028</v>
      </c>
    </row>
    <row r="102" customFormat="false" ht="15" hidden="false" customHeight="false" outlineLevel="0" collapsed="false">
      <c r="B102" s="12" t="s">
        <v>566</v>
      </c>
      <c r="C102" s="62" t="n">
        <f aca="false">C98+C100+C101</f>
        <v>161985.6</v>
      </c>
      <c r="D102" s="62" t="n">
        <f aca="false">D98+D100+D101</f>
        <v>231774.396</v>
      </c>
      <c r="E102" s="62" t="n">
        <f aca="false">E98+E100+E101</f>
        <v>302942.76936</v>
      </c>
      <c r="F102" s="62" t="n">
        <f aca="false">F98+F100+F101</f>
        <v>305972.1970536</v>
      </c>
      <c r="G102" s="62" t="n">
        <f aca="false">G98+G100+G101</f>
        <v>309031.919024136</v>
      </c>
      <c r="H102" s="62" t="n">
        <f aca="false">H98+H100+H101</f>
        <v>312122.238214377</v>
      </c>
      <c r="I102" s="62" t="n">
        <f aca="false">I98+I100+I101</f>
        <v>315243.460596521</v>
      </c>
      <c r="J102" s="62" t="n">
        <f aca="false">J98+J100+J101</f>
        <v>318395.895202486</v>
      </c>
      <c r="K102" s="62" t="n">
        <f aca="false">K98+K100+K101</f>
        <v>321579.854154511</v>
      </c>
      <c r="L102" s="62" t="n">
        <f aca="false">L98+L100+L101</f>
        <v>324795.652696056</v>
      </c>
      <c r="M102" s="62" t="n">
        <f aca="false">SUM(C102:L102)</f>
        <v>2903843.98230169</v>
      </c>
    </row>
    <row r="103" customFormat="false" ht="15" hidden="false" customHeight="false" outlineLevel="0" collapsed="false">
      <c r="B103" s="8" t="s">
        <v>567</v>
      </c>
      <c r="C103" s="81" t="n">
        <f aca="false">IF(1&gt;08_Annahmen!$C$17,0,1/(1+$I$15)^1)</f>
        <v>0.943396226415094</v>
      </c>
      <c r="D103" s="81" t="n">
        <f aca="false">IF(2&gt;08_Annahmen!$C$17,0,1/(1+$I$15)^2)</f>
        <v>0.88999644001424</v>
      </c>
      <c r="E103" s="81" t="n">
        <f aca="false">IF(3&gt;08_Annahmen!$C$17,0,1/(1+$I$15)^3)</f>
        <v>0.839619283032302</v>
      </c>
      <c r="F103" s="81" t="n">
        <f aca="false">IF(4&gt;08_Annahmen!$C$17,0,1/(1+$I$15)^4)</f>
        <v>0.79209366323802</v>
      </c>
      <c r="G103" s="81" t="n">
        <f aca="false">IF(5&gt;08_Annahmen!$C$17,0,1/(1+$I$15)^5)</f>
        <v>0.747258172866057</v>
      </c>
      <c r="H103" s="81" t="n">
        <f aca="false">IF(6&gt;08_Annahmen!$C$17,0,1/(1+$I$15)^6)</f>
        <v>0.704960540439676</v>
      </c>
      <c r="I103" s="81" t="n">
        <f aca="false">IF(7&gt;08_Annahmen!$C$17,0,1/(1+$I$15)^7)</f>
        <v>0.665057113622336</v>
      </c>
      <c r="J103" s="81" t="n">
        <f aca="false">IF(8&gt;08_Annahmen!$C$17,0,1/(1+$I$15)^8)</f>
        <v>0.627412371341827</v>
      </c>
      <c r="K103" s="81" t="n">
        <f aca="false">IF(9&gt;08_Annahmen!$C$17,0,1/(1+$I$15)^9)</f>
        <v>0.591898463530025</v>
      </c>
      <c r="L103" s="81" t="n">
        <f aca="false">IF(10&gt;08_Annahmen!$C$17,0,1/(1+$I$15)^10)</f>
        <v>0.558394776915118</v>
      </c>
    </row>
    <row r="104" customFormat="false" ht="15" hidden="false" customHeight="false" outlineLevel="0" collapsed="false">
      <c r="B104" s="12" t="s">
        <v>568</v>
      </c>
      <c r="C104" s="28" t="n">
        <f aca="false">C102*C103</f>
        <v>152816.603773585</v>
      </c>
      <c r="D104" s="28" t="n">
        <f aca="false">D102*D103</f>
        <v>206278.387326451</v>
      </c>
      <c r="E104" s="28" t="n">
        <f aca="false">E102*E103</f>
        <v>254356.590809863</v>
      </c>
      <c r="F104" s="28" t="n">
        <f aca="false">F102*F103</f>
        <v>242358.638413172</v>
      </c>
      <c r="G104" s="28" t="n">
        <f aca="false">G102*G103</f>
        <v>230926.627167267</v>
      </c>
      <c r="H104" s="28" t="n">
        <f aca="false">H102*H103</f>
        <v>220033.861734849</v>
      </c>
      <c r="I104" s="28" t="n">
        <f aca="false">I102*I103</f>
        <v>209654.905992639</v>
      </c>
      <c r="J104" s="28" t="n">
        <f aca="false">J102*J103</f>
        <v>199765.523634496</v>
      </c>
      <c r="K104" s="28" t="n">
        <f aca="false">K102*K103</f>
        <v>190342.621576265</v>
      </c>
      <c r="L104" s="28" t="n">
        <f aca="false">L102*L103</f>
        <v>181364.196030214</v>
      </c>
      <c r="M104" s="62" t="n">
        <f aca="false">SUM(C104:L104)</f>
        <v>2087897.9564588</v>
      </c>
      <c r="N104" s="62" t="n">
        <f aca="false">$L$15</f>
        <v>3556851.22311683</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J4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46"/>
    <col collapsed="false" customWidth="true" hidden="false" outlineLevel="0" max="4" min="3" style="0" width="14"/>
    <col collapsed="false" customWidth="true" hidden="false" outlineLevel="0" max="6" min="5" style="0" width="16"/>
    <col collapsed="false" customWidth="true" hidden="false" outlineLevel="0" max="9" min="7" style="0" width="15"/>
    <col collapsed="false" customWidth="true" hidden="false" outlineLevel="0" max="11" min="10" style="0" width="12"/>
  </cols>
  <sheetData>
    <row r="2" customFormat="false" ht="19.7" hidden="false" customHeight="false" outlineLevel="0" collapsed="false">
      <c r="B2" s="26" t="s">
        <v>569</v>
      </c>
    </row>
    <row r="3" customFormat="false" ht="15" hidden="false" customHeight="false" outlineLevel="0" collapsed="false">
      <c r="B3" s="4" t="s">
        <v>570</v>
      </c>
    </row>
    <row r="6" customFormat="false" ht="15" hidden="false" customHeight="false" outlineLevel="0" collapsed="false">
      <c r="B6" s="5" t="s">
        <v>571</v>
      </c>
    </row>
    <row r="7" customFormat="false" ht="19.5" hidden="false" customHeight="true" outlineLevel="0" collapsed="false">
      <c r="B7" s="6" t="s">
        <v>103</v>
      </c>
      <c r="C7" s="7" t="s">
        <v>41</v>
      </c>
      <c r="D7" s="7" t="s">
        <v>564</v>
      </c>
      <c r="E7" s="7" t="s">
        <v>565</v>
      </c>
      <c r="F7" s="7" t="s">
        <v>54</v>
      </c>
      <c r="G7" s="7" t="s">
        <v>43</v>
      </c>
    </row>
    <row r="8" customFormat="false" ht="15" hidden="false" customHeight="false" outlineLevel="0" collapsed="false">
      <c r="B8" s="8" t="s">
        <v>106</v>
      </c>
      <c r="C8" s="28" t="n">
        <f aca="false">SUMIFS(12_Ertragsrechnung!$H$7:$H$24,12_Ertragsrechnung!$D$7:$D$24,$B8)</f>
        <v>3387983.27011674</v>
      </c>
      <c r="D8" s="34" t="n">
        <f aca="false">INDEX(08_Annahmen!$G$22:$G$29,MATCH($B8,08_Annahmen!$B$22:$B$29,0))</f>
        <v>0.02</v>
      </c>
      <c r="E8" s="34" t="n">
        <f aca="false">INDEX(08_Annahmen!$H$22:$H$29,MATCH($B8,08_Annahmen!$B$22:$B$29,0))</f>
        <v>0.13</v>
      </c>
      <c r="F8" s="47" t="n">
        <f aca="false">INDEX(08_Annahmen!$K$22:$K$29,MATCH($B8,08_Annahmen!$B$22:$B$29,0))</f>
        <v>0.034</v>
      </c>
      <c r="G8" s="28" t="n">
        <f aca="false">$C8*(1-$D8-$E8)/$F8</f>
        <v>84699581.7529185</v>
      </c>
    </row>
    <row r="9" customFormat="false" ht="15" hidden="false" customHeight="false" outlineLevel="0" collapsed="false">
      <c r="B9" s="8" t="s">
        <v>196</v>
      </c>
      <c r="C9" s="28" t="n">
        <f aca="false">SUMIFS(12_Ertragsrechnung!$H$7:$H$24,12_Ertragsrechnung!$D$7:$D$24,$B9)</f>
        <v>986204.162104458</v>
      </c>
      <c r="D9" s="34" t="n">
        <f aca="false">INDEX(08_Annahmen!$G$22:$G$29,MATCH($B9,08_Annahmen!$B$22:$B$29,0))</f>
        <v>0.03</v>
      </c>
      <c r="E9" s="34" t="n">
        <f aca="false">INDEX(08_Annahmen!$H$22:$H$29,MATCH($B9,08_Annahmen!$B$22:$B$29,0))</f>
        <v>0.14</v>
      </c>
      <c r="F9" s="47" t="n">
        <f aca="false">INDEX(08_Annahmen!$K$22:$K$29,MATCH($B9,08_Annahmen!$B$22:$B$29,0))</f>
        <v>0.038</v>
      </c>
      <c r="G9" s="28" t="n">
        <f aca="false">$C9*(1-$D9-$E9)/$F9</f>
        <v>21540775.11965</v>
      </c>
    </row>
    <row r="10" customFormat="false" ht="15" hidden="false" customHeight="false" outlineLevel="0" collapsed="false">
      <c r="B10" s="8" t="s">
        <v>218</v>
      </c>
      <c r="C10" s="28" t="n">
        <f aca="false">SUMIFS(12_Ertragsrechnung!$H$7:$H$24,12_Ertragsrechnung!$D$7:$D$24,$B10)</f>
        <v>1221441.61901716</v>
      </c>
      <c r="D10" s="34" t="n">
        <f aca="false">INDEX(08_Annahmen!$G$22:$G$29,MATCH($B10,08_Annahmen!$B$22:$B$29,0))</f>
        <v>0.08</v>
      </c>
      <c r="E10" s="34" t="n">
        <f aca="false">INDEX(08_Annahmen!$H$22:$H$29,MATCH($B10,08_Annahmen!$B$22:$B$29,0))</f>
        <v>0.22</v>
      </c>
      <c r="F10" s="47" t="n">
        <f aca="false">INDEX(08_Annahmen!$K$22:$K$29,MATCH($B10,08_Annahmen!$B$22:$B$29,0))</f>
        <v>0.052</v>
      </c>
      <c r="G10" s="28" t="n">
        <f aca="false">$C10*(1-$D10-$E10)/$F10</f>
        <v>16442483.3329233</v>
      </c>
    </row>
    <row r="11" customFormat="false" ht="15" hidden="false" customHeight="false" outlineLevel="0" collapsed="false">
      <c r="B11" s="8" t="s">
        <v>130</v>
      </c>
      <c r="C11" s="28" t="n">
        <f aca="false">SUMIFS(12_Ertragsrechnung!$H$7:$H$24,12_Ertragsrechnung!$D$7:$D$24,$B11)</f>
        <v>500116.078773269</v>
      </c>
      <c r="D11" s="34" t="n">
        <f aca="false">INDEX(08_Annahmen!$G$22:$G$29,MATCH($B11,08_Annahmen!$B$22:$B$29,0))</f>
        <v>0.06</v>
      </c>
      <c r="E11" s="34" t="n">
        <f aca="false">INDEX(08_Annahmen!$H$22:$H$29,MATCH($B11,08_Annahmen!$B$22:$B$29,0))</f>
        <v>0.09</v>
      </c>
      <c r="F11" s="47" t="n">
        <f aca="false">INDEX(08_Annahmen!$K$22:$K$29,MATCH($B11,08_Annahmen!$B$22:$B$29,0))</f>
        <v>0.051</v>
      </c>
      <c r="G11" s="28" t="n">
        <f aca="false">$C11*(1-$D11-$E11)/$F11</f>
        <v>8335267.97955448</v>
      </c>
    </row>
    <row r="12" customFormat="false" ht="15" hidden="false" customHeight="false" outlineLevel="0" collapsed="false">
      <c r="B12" s="8" t="s">
        <v>107</v>
      </c>
      <c r="C12" s="28" t="n">
        <f aca="false">SUMIFS(12_Ertragsrechnung!$H$7:$H$24,12_Ertragsrechnung!$D$7:$D$24,$B12)</f>
        <v>682125.802827693</v>
      </c>
      <c r="D12" s="34" t="n">
        <f aca="false">INDEX(08_Annahmen!$G$22:$G$29,MATCH($B12,08_Annahmen!$B$22:$B$29,0))</f>
        <v>0.05</v>
      </c>
      <c r="E12" s="34" t="n">
        <f aca="false">INDEX(08_Annahmen!$H$22:$H$29,MATCH($B12,08_Annahmen!$B$22:$B$29,0))</f>
        <v>0.08</v>
      </c>
      <c r="F12" s="47" t="n">
        <f aca="false">INDEX(08_Annahmen!$K$22:$K$29,MATCH($B12,08_Annahmen!$B$22:$B$29,0))</f>
        <v>0.056</v>
      </c>
      <c r="G12" s="28" t="n">
        <f aca="false">$C12*(1-$D12-$E12)/$F12</f>
        <v>10597311.5796445</v>
      </c>
    </row>
    <row r="13" customFormat="false" ht="15" hidden="false" customHeight="false" outlineLevel="0" collapsed="false">
      <c r="B13" s="8" t="s">
        <v>180</v>
      </c>
      <c r="C13" s="28" t="n">
        <f aca="false">SUMIFS(12_Ertragsrechnung!$H$7:$H$24,12_Ertragsrechnung!$D$7:$D$24,$B13)</f>
        <v>511246.224</v>
      </c>
      <c r="D13" s="34" t="n">
        <f aca="false">INDEX(08_Annahmen!$G$22:$G$29,MATCH($B13,08_Annahmen!$B$22:$B$29,0))</f>
        <v>0.05</v>
      </c>
      <c r="E13" s="34" t="n">
        <f aca="false">INDEX(08_Annahmen!$H$22:$H$29,MATCH($B13,08_Annahmen!$B$22:$B$29,0))</f>
        <v>0.08</v>
      </c>
      <c r="F13" s="47" t="n">
        <f aca="false">INDEX(08_Annahmen!$K$22:$K$29,MATCH($B13,08_Annahmen!$B$22:$B$29,0))</f>
        <v>0.045</v>
      </c>
      <c r="G13" s="28" t="n">
        <f aca="false">$C13*(1-$D13-$E13)/$F13</f>
        <v>9884093.664</v>
      </c>
    </row>
    <row r="14" customFormat="false" ht="15" hidden="false" customHeight="false" outlineLevel="0" collapsed="false">
      <c r="B14" s="12" t="s">
        <v>197</v>
      </c>
      <c r="C14" s="28" t="n">
        <f aca="false">SUMIFS(12_Ertragsrechnung!$H$7:$H$24,12_Ertragsrechnung!$D$7:$D$24,$B14)</f>
        <v>580000</v>
      </c>
      <c r="D14" s="34" t="n">
        <f aca="false">INDEX(08_Annahmen!$G$22:$G$29,MATCH($B14,08_Annahmen!$B$22:$B$29,0))</f>
        <v>0.1</v>
      </c>
      <c r="E14" s="34" t="n">
        <f aca="false">INDEX(08_Annahmen!$H$22:$H$29,MATCH($B14,08_Annahmen!$B$22:$B$29,0))</f>
        <v>0.35</v>
      </c>
      <c r="F14" s="47" t="n">
        <f aca="false">INDEX(08_Annahmen!$K$22:$K$29,MATCH($B14,08_Annahmen!$B$22:$B$29,0))</f>
        <v>0.066</v>
      </c>
      <c r="G14" s="28" t="n">
        <f aca="false">$C14*(1-$D14-$E14)/$F14</f>
        <v>4833333.33333333</v>
      </c>
    </row>
    <row r="15" customFormat="false" ht="15" hidden="false" customHeight="false" outlineLevel="0" collapsed="false">
      <c r="B15" s="12" t="s">
        <v>198</v>
      </c>
      <c r="C15" s="28" t="n">
        <f aca="false">SUMIFS(12_Ertragsrechnung!$H$7:$H$24,12_Ertragsrechnung!$D$7:$D$24,$B15)</f>
        <v>385680</v>
      </c>
      <c r="D15" s="34" t="n">
        <f aca="false">INDEX(08_Annahmen!$G$22:$G$29,MATCH($B15,08_Annahmen!$B$22:$B$29,0))</f>
        <v>0.05</v>
      </c>
      <c r="E15" s="34" t="n">
        <f aca="false">INDEX(08_Annahmen!$H$22:$H$29,MATCH($B15,08_Annahmen!$B$22:$B$29,0))</f>
        <v>0.18</v>
      </c>
      <c r="F15" s="47" t="n">
        <f aca="false">INDEX(08_Annahmen!$K$22:$K$29,MATCH($B15,08_Annahmen!$B$22:$B$29,0))</f>
        <v>0.05</v>
      </c>
      <c r="G15" s="28" t="n">
        <f aca="false">$C15*(1-$D15-$E15)/$F15</f>
        <v>5939472</v>
      </c>
    </row>
    <row r="16" customFormat="false" ht="15" hidden="false" customHeight="false" outlineLevel="0" collapsed="false">
      <c r="B16" s="20" t="s">
        <v>572</v>
      </c>
      <c r="C16" s="23" t="n">
        <f aca="false">SUM(C8:C15)</f>
        <v>8254797.15683932</v>
      </c>
      <c r="D16" s="20"/>
      <c r="E16" s="20"/>
      <c r="F16" s="20"/>
      <c r="G16" s="23" t="n">
        <f aca="false">SUM(G8:G15)</f>
        <v>162272318.762024</v>
      </c>
    </row>
    <row r="18" customFormat="false" ht="15" hidden="false" customHeight="false" outlineLevel="0" collapsed="false">
      <c r="B18" s="8" t="s">
        <v>573</v>
      </c>
      <c r="C18" s="28" t="n">
        <f aca="false">(COUNTIFS('11_Flächen &amp; Mieten'!$H$7:$H$250,"Wohnen")*08_Annahmen!$N$22+COUNTIFS('11_Flächen &amp; Mieten'!$H$7:$H$250,"Residenz",'11_Flächen &amp; Mieten'!$J$7:$J$250,"nein",'11_Flächen &amp; Mieten'!$D$7:$D$250,"&lt;&gt;Concierge ACE")*08_Annahmen!$N$23)*08_Annahmen!$C$10*12</f>
        <v>260640</v>
      </c>
    </row>
    <row r="19" customFormat="false" ht="15" hidden="false" customHeight="false" outlineLevel="0" collapsed="false">
      <c r="B19" s="8" t="s">
        <v>574</v>
      </c>
      <c r="C19" s="28" t="n">
        <f aca="false">(COUNTIFS('11_Flächen &amp; Mieten'!$H$7:$H$250,"Wotel")*08_Annahmen!$N$24+SUMIFS('11_Flächen &amp; Mieten'!$I$7:$I$250,'11_Flächen &amp; Mieten'!$H$7:$H$250,"Büro")/100*08_Annahmen!$N$25+SUMIFS('11_Flächen &amp; Mieten'!$I$7:$I$250,'11_Flächen &amp; Mieten'!$H$7:$H$250,"Gewerbe",'11_Flächen &amp; Mieten'!$D$7:$D$250,"&lt;&gt;Concierge ACE")/100*08_Annahmen!$N$26)*08_Annahmen!$C$11*12</f>
        <v>250606.224</v>
      </c>
    </row>
    <row r="21" customFormat="false" ht="15" hidden="false" customHeight="false" outlineLevel="0" collapsed="false">
      <c r="B21" s="5" t="s">
        <v>575</v>
      </c>
    </row>
    <row r="22" customFormat="false" ht="15" hidden="false" customHeight="false" outlineLevel="0" collapsed="false">
      <c r="B22" s="4" t="s">
        <v>576</v>
      </c>
    </row>
    <row r="24" customFormat="false" ht="15" hidden="false" customHeight="false" outlineLevel="0" collapsed="false">
      <c r="B24" s="12" t="s">
        <v>577</v>
      </c>
      <c r="D24" s="91" t="n">
        <v>-0.005</v>
      </c>
      <c r="E24" s="91" t="n">
        <v>-0.0025</v>
      </c>
      <c r="F24" s="91" t="n">
        <v>0</v>
      </c>
      <c r="G24" s="91" t="n">
        <v>0.0025</v>
      </c>
      <c r="H24" s="91" t="n">
        <v>0.005</v>
      </c>
      <c r="I24" s="91" t="n">
        <v>0.0075</v>
      </c>
      <c r="J24" s="91" t="n">
        <v>0.01</v>
      </c>
    </row>
    <row r="25" customFormat="false" ht="15" hidden="false" customHeight="false" outlineLevel="0" collapsed="false">
      <c r="B25" s="92" t="n">
        <v>-0.15</v>
      </c>
      <c r="D25" s="59" t="n">
        <f aca="false">SUMPRODUCT($C$8:$C$15*(1+$B25)*(1-$D$8:$D$15-$E$8:$E$15)/($F$8:$F$15+D$24))/1000000</f>
        <v>158.206451021897</v>
      </c>
      <c r="E25" s="59" t="n">
        <f aca="false">SUMPRODUCT($C$8:$C$15*(1+$B25)*(1-$D$8:$D$15-$E$8:$E$15)/($F$8:$F$15+E$24))/1000000</f>
        <v>147.348398005953</v>
      </c>
      <c r="F25" s="59" t="n">
        <f aca="false">SUMPRODUCT($C$8:$C$15*(1+$B25)*(1-$D$8:$D$15-$E$8:$E$15)/($F$8:$F$15+F$24))/1000000</f>
        <v>137.931470947721</v>
      </c>
      <c r="G25" s="59" t="n">
        <f aca="false">SUMPRODUCT($C$8:$C$15*(1+$B25)*(1-$D$8:$D$15-$E$8:$E$15)/($F$8:$F$15+G$24))/1000000</f>
        <v>129.680450740347</v>
      </c>
      <c r="H25" s="59" t="n">
        <f aca="false">SUMPRODUCT($C$8:$C$15*(1+$B25)*(1-$D$8:$D$15-$E$8:$E$15)/($F$8:$F$15+H$24))/1000000</f>
        <v>122.387032592818</v>
      </c>
      <c r="I25" s="59" t="n">
        <f aca="false">SUMPRODUCT($C$8:$C$15*(1+$B25)*(1-$D$8:$D$15-$E$8:$E$15)/($F$8:$F$15+I$24))/1000000</f>
        <v>115.890450788846</v>
      </c>
      <c r="J25" s="59" t="n">
        <f aca="false">SUMPRODUCT($C$8:$C$15*(1+$B25)*(1-$D$8:$D$15-$E$8:$E$15)/($F$8:$F$15+J$24))/1000000</f>
        <v>110.064513889655</v>
      </c>
    </row>
    <row r="26" customFormat="false" ht="15" hidden="false" customHeight="false" outlineLevel="0" collapsed="false">
      <c r="B26" s="92" t="n">
        <v>-0.1</v>
      </c>
      <c r="D26" s="59" t="n">
        <f aca="false">SUMPRODUCT($C$8:$C$15*(1+$B26)*(1-$D$8:$D$15-$E$8:$E$15)/($F$8:$F$15+D$24))/1000000</f>
        <v>167.512712846714</v>
      </c>
      <c r="E26" s="59" t="n">
        <f aca="false">SUMPRODUCT($C$8:$C$15*(1+$B26)*(1-$D$8:$D$15-$E$8:$E$15)/($F$8:$F$15+E$24))/1000000</f>
        <v>156.015950829832</v>
      </c>
      <c r="F26" s="59" t="n">
        <f aca="false">SUMPRODUCT($C$8:$C$15*(1+$B26)*(1-$D$8:$D$15-$E$8:$E$15)/($F$8:$F$15+F$24))/1000000</f>
        <v>146.045086885822</v>
      </c>
      <c r="G26" s="59" t="n">
        <f aca="false">SUMPRODUCT($C$8:$C$15*(1+$B26)*(1-$D$8:$D$15-$E$8:$E$15)/($F$8:$F$15+G$24))/1000000</f>
        <v>137.308712548602</v>
      </c>
      <c r="H26" s="59" t="n">
        <f aca="false">SUMPRODUCT($C$8:$C$15*(1+$B26)*(1-$D$8:$D$15-$E$8:$E$15)/($F$8:$F$15+H$24))/1000000</f>
        <v>129.58626980416</v>
      </c>
      <c r="I26" s="59" t="n">
        <f aca="false">SUMPRODUCT($C$8:$C$15*(1+$B26)*(1-$D$8:$D$15-$E$8:$E$15)/($F$8:$F$15+I$24))/1000000</f>
        <v>122.707536129367</v>
      </c>
      <c r="J26" s="59" t="n">
        <f aca="false">SUMPRODUCT($C$8:$C$15*(1+$B26)*(1-$D$8:$D$15-$E$8:$E$15)/($F$8:$F$15+J$24))/1000000</f>
        <v>116.538897059635</v>
      </c>
    </row>
    <row r="27" customFormat="false" ht="15" hidden="false" customHeight="false" outlineLevel="0" collapsed="false">
      <c r="B27" s="92" t="n">
        <v>-0.05</v>
      </c>
      <c r="D27" s="59" t="n">
        <f aca="false">SUMPRODUCT($C$8:$C$15*(1+$B27)*(1-$D$8:$D$15-$E$8:$E$15)/($F$8:$F$15+D$24))/1000000</f>
        <v>176.818974671532</v>
      </c>
      <c r="E27" s="59" t="n">
        <f aca="false">SUMPRODUCT($C$8:$C$15*(1+$B27)*(1-$D$8:$D$15-$E$8:$E$15)/($F$8:$F$15+E$24))/1000000</f>
        <v>164.683503653712</v>
      </c>
      <c r="F27" s="59" t="n">
        <f aca="false">SUMPRODUCT($C$8:$C$15*(1+$B27)*(1-$D$8:$D$15-$E$8:$E$15)/($F$8:$F$15+F$24))/1000000</f>
        <v>154.158702823923</v>
      </c>
      <c r="G27" s="59" t="n">
        <f aca="false">SUMPRODUCT($C$8:$C$15*(1+$B27)*(1-$D$8:$D$15-$E$8:$E$15)/($F$8:$F$15+G$24))/1000000</f>
        <v>144.936974356858</v>
      </c>
      <c r="H27" s="59" t="n">
        <f aca="false">SUMPRODUCT($C$8:$C$15*(1+$B27)*(1-$D$8:$D$15-$E$8:$E$15)/($F$8:$F$15+H$24))/1000000</f>
        <v>136.785507015503</v>
      </c>
      <c r="I27" s="59" t="n">
        <f aca="false">SUMPRODUCT($C$8:$C$15*(1+$B27)*(1-$D$8:$D$15-$E$8:$E$15)/($F$8:$F$15+I$24))/1000000</f>
        <v>129.524621469887</v>
      </c>
      <c r="J27" s="59" t="n">
        <f aca="false">SUMPRODUCT($C$8:$C$15*(1+$B27)*(1-$D$8:$D$15-$E$8:$E$15)/($F$8:$F$15+J$24))/1000000</f>
        <v>123.013280229615</v>
      </c>
    </row>
    <row r="28" customFormat="false" ht="15" hidden="false" customHeight="false" outlineLevel="0" collapsed="false">
      <c r="B28" s="92" t="n">
        <v>0</v>
      </c>
      <c r="D28" s="93" t="n">
        <f aca="false">SUMPRODUCT($C$8:$C$15*(1+$B28)*(1-$D$8:$D$15-$E$8:$E$15)/($F$8:$F$15+D$24))/1000000</f>
        <v>186.125236496349</v>
      </c>
      <c r="E28" s="93" t="n">
        <f aca="false">SUMPRODUCT($C$8:$C$15*(1+$B28)*(1-$D$8:$D$15-$E$8:$E$15)/($F$8:$F$15+E$24))/1000000</f>
        <v>173.351056477591</v>
      </c>
      <c r="F28" s="94" t="n">
        <f aca="false">SUMPRODUCT($C$8:$C$15*(1+$B28)*(1-$D$8:$D$15-$E$8:$E$15)/($F$8:$F$15+F$24))/1000000</f>
        <v>162.272318762024</v>
      </c>
      <c r="G28" s="93" t="n">
        <f aca="false">SUMPRODUCT($C$8:$C$15*(1+$B28)*(1-$D$8:$D$15-$E$8:$E$15)/($F$8:$F$15+G$24))/1000000</f>
        <v>152.565236165114</v>
      </c>
      <c r="H28" s="93" t="n">
        <f aca="false">SUMPRODUCT($C$8:$C$15*(1+$B28)*(1-$D$8:$D$15-$E$8:$E$15)/($F$8:$F$15+H$24))/1000000</f>
        <v>143.984744226845</v>
      </c>
      <c r="I28" s="93" t="n">
        <f aca="false">SUMPRODUCT($C$8:$C$15*(1+$B28)*(1-$D$8:$D$15-$E$8:$E$15)/($F$8:$F$15+I$24))/1000000</f>
        <v>136.341706810407</v>
      </c>
      <c r="J28" s="93" t="n">
        <f aca="false">SUMPRODUCT($C$8:$C$15*(1+$B28)*(1-$D$8:$D$15-$E$8:$E$15)/($F$8:$F$15+J$24))/1000000</f>
        <v>129.487663399594</v>
      </c>
    </row>
    <row r="29" customFormat="false" ht="15" hidden="false" customHeight="false" outlineLevel="0" collapsed="false">
      <c r="B29" s="92" t="n">
        <v>0.05</v>
      </c>
      <c r="D29" s="59" t="n">
        <f aca="false">SUMPRODUCT($C$8:$C$15*(1+$B29)*(1-$D$8:$D$15-$E$8:$E$15)/($F$8:$F$15+D$24))/1000000</f>
        <v>195.431498321167</v>
      </c>
      <c r="E29" s="59" t="n">
        <f aca="false">SUMPRODUCT($C$8:$C$15*(1+$B29)*(1-$D$8:$D$15-$E$8:$E$15)/($F$8:$F$15+E$24))/1000000</f>
        <v>182.018609301471</v>
      </c>
      <c r="F29" s="59" t="n">
        <f aca="false">SUMPRODUCT($C$8:$C$15*(1+$B29)*(1-$D$8:$D$15-$E$8:$E$15)/($F$8:$F$15+F$24))/1000000</f>
        <v>170.385934700125</v>
      </c>
      <c r="G29" s="59" t="n">
        <f aca="false">SUMPRODUCT($C$8:$C$15*(1+$B29)*(1-$D$8:$D$15-$E$8:$E$15)/($F$8:$F$15+G$24))/1000000</f>
        <v>160.19349797337</v>
      </c>
      <c r="H29" s="59" t="n">
        <f aca="false">SUMPRODUCT($C$8:$C$15*(1+$B29)*(1-$D$8:$D$15-$E$8:$E$15)/($F$8:$F$15+H$24))/1000000</f>
        <v>151.183981438187</v>
      </c>
      <c r="I29" s="59" t="n">
        <f aca="false">SUMPRODUCT($C$8:$C$15*(1+$B29)*(1-$D$8:$D$15-$E$8:$E$15)/($F$8:$F$15+I$24))/1000000</f>
        <v>143.158792150928</v>
      </c>
      <c r="J29" s="59" t="n">
        <f aca="false">SUMPRODUCT($C$8:$C$15*(1+$B29)*(1-$D$8:$D$15-$E$8:$E$15)/($F$8:$F$15+J$24))/1000000</f>
        <v>135.962046569574</v>
      </c>
    </row>
    <row r="30" customFormat="false" ht="15" hidden="false" customHeight="false" outlineLevel="0" collapsed="false">
      <c r="B30" s="92" t="n">
        <v>0.1</v>
      </c>
      <c r="D30" s="59" t="n">
        <f aca="false">SUMPRODUCT($C$8:$C$15*(1+$B30)*(1-$D$8:$D$15-$E$8:$E$15)/($F$8:$F$15+D$24))/1000000</f>
        <v>204.737760145984</v>
      </c>
      <c r="E30" s="59" t="n">
        <f aca="false">SUMPRODUCT($C$8:$C$15*(1+$B30)*(1-$D$8:$D$15-$E$8:$E$15)/($F$8:$F$15+E$24))/1000000</f>
        <v>190.686162125351</v>
      </c>
      <c r="F30" s="59" t="n">
        <f aca="false">SUMPRODUCT($C$8:$C$15*(1+$B30)*(1-$D$8:$D$15-$E$8:$E$15)/($F$8:$F$15+F$24))/1000000</f>
        <v>178.499550638227</v>
      </c>
      <c r="G30" s="59" t="n">
        <f aca="false">SUMPRODUCT($C$8:$C$15*(1+$B30)*(1-$D$8:$D$15-$E$8:$E$15)/($F$8:$F$15+G$24))/1000000</f>
        <v>167.821759781625</v>
      </c>
      <c r="H30" s="59" t="n">
        <f aca="false">SUMPRODUCT($C$8:$C$15*(1+$B30)*(1-$D$8:$D$15-$E$8:$E$15)/($F$8:$F$15+H$24))/1000000</f>
        <v>158.383218649529</v>
      </c>
      <c r="I30" s="59" t="n">
        <f aca="false">SUMPRODUCT($C$8:$C$15*(1+$B30)*(1-$D$8:$D$15-$E$8:$E$15)/($F$8:$F$15+I$24))/1000000</f>
        <v>149.975877491448</v>
      </c>
      <c r="J30" s="59" t="n">
        <f aca="false">SUMPRODUCT($C$8:$C$15*(1+$B30)*(1-$D$8:$D$15-$E$8:$E$15)/($F$8:$F$15+J$24))/1000000</f>
        <v>142.436429739554</v>
      </c>
    </row>
    <row r="31" customFormat="false" ht="15" hidden="false" customHeight="false" outlineLevel="0" collapsed="false">
      <c r="B31" s="92" t="n">
        <v>0.15</v>
      </c>
      <c r="D31" s="59" t="n">
        <f aca="false">SUMPRODUCT($C$8:$C$15*(1+$B31)*(1-$D$8:$D$15-$E$8:$E$15)/($F$8:$F$15+D$24))/1000000</f>
        <v>214.044021970801</v>
      </c>
      <c r="E31" s="59" t="n">
        <f aca="false">SUMPRODUCT($C$8:$C$15*(1+$B31)*(1-$D$8:$D$15-$E$8:$E$15)/($F$8:$F$15+E$24))/1000000</f>
        <v>199.35371494923</v>
      </c>
      <c r="F31" s="59" t="n">
        <f aca="false">SUMPRODUCT($C$8:$C$15*(1+$B31)*(1-$D$8:$D$15-$E$8:$E$15)/($F$8:$F$15+F$24))/1000000</f>
        <v>186.613166576328</v>
      </c>
      <c r="G31" s="59" t="n">
        <f aca="false">SUMPRODUCT($C$8:$C$15*(1+$B31)*(1-$D$8:$D$15-$E$8:$E$15)/($F$8:$F$15+G$24))/1000000</f>
        <v>175.450021589881</v>
      </c>
      <c r="H31" s="59" t="n">
        <f aca="false">SUMPRODUCT($C$8:$C$15*(1+$B31)*(1-$D$8:$D$15-$E$8:$E$15)/($F$8:$F$15+H$24))/1000000</f>
        <v>165.582455860871</v>
      </c>
      <c r="I31" s="59" t="n">
        <f aca="false">SUMPRODUCT($C$8:$C$15*(1+$B31)*(1-$D$8:$D$15-$E$8:$E$15)/($F$8:$F$15+I$24))/1000000</f>
        <v>156.792962831968</v>
      </c>
      <c r="J31" s="59" t="n">
        <f aca="false">SUMPRODUCT($C$8:$C$15*(1+$B31)*(1-$D$8:$D$15-$E$8:$E$15)/($F$8:$F$15+J$24))/1000000</f>
        <v>148.910812909533</v>
      </c>
    </row>
    <row r="34" customFormat="false" ht="15" hidden="false" customHeight="false" outlineLevel="0" collapsed="false">
      <c r="B34" s="5" t="s">
        <v>578</v>
      </c>
    </row>
    <row r="35" customFormat="false" ht="30" hidden="false" customHeight="true" outlineLevel="0" collapsed="false">
      <c r="B35" s="6" t="s">
        <v>579</v>
      </c>
      <c r="C35" s="6" t="s">
        <v>580</v>
      </c>
      <c r="D35" s="6" t="s">
        <v>581</v>
      </c>
      <c r="E35" s="7" t="s">
        <v>582</v>
      </c>
      <c r="F35" s="7" t="s">
        <v>583</v>
      </c>
      <c r="G35" s="7" t="s">
        <v>584</v>
      </c>
      <c r="H35" s="7" t="s">
        <v>585</v>
      </c>
      <c r="I35" s="7" t="s">
        <v>586</v>
      </c>
    </row>
    <row r="36" customFormat="false" ht="15" hidden="false" customHeight="false" outlineLevel="0" collapsed="false">
      <c r="B36" s="8" t="s">
        <v>587</v>
      </c>
      <c r="C36" s="8" t="s">
        <v>588</v>
      </c>
      <c r="D36" s="8" t="s">
        <v>589</v>
      </c>
      <c r="E36" s="28" t="n">
        <f aca="false">$G$16-$C$8*(1-$D$8-$E$8)/$F$8+$C$8*(0.9)*(1-$D$8-(0)-$E$8-(0))/($F$8+0)</f>
        <v>153802360.586732</v>
      </c>
      <c r="F36" s="28" t="n">
        <f aca="false">$G$16-$C$8*(1-$D$8-$E$8)/$F$8+$C$8*(1.1)*(1-$D$8-(0)-$E$8-(0))/($F$8+0)</f>
        <v>170742276.937316</v>
      </c>
      <c r="G36" s="28" t="n">
        <f aca="false">E36-$G$16</f>
        <v>-8469958.17529187</v>
      </c>
      <c r="H36" s="28" t="n">
        <f aca="false">F36-$G$16</f>
        <v>8469958.17529187</v>
      </c>
      <c r="I36" s="62" t="n">
        <f aca="false">F36-E36</f>
        <v>16939916.3505837</v>
      </c>
    </row>
    <row r="37" customFormat="false" ht="15" hidden="false" customHeight="false" outlineLevel="0" collapsed="false">
      <c r="B37" s="8" t="s">
        <v>590</v>
      </c>
      <c r="C37" s="8" t="s">
        <v>591</v>
      </c>
      <c r="D37" s="8" t="s">
        <v>592</v>
      </c>
      <c r="E37" s="28" t="n">
        <f aca="false">$G$16-$C$8*(1-$D$8-$E$8)/$F$8+$C$8*(1)*(1-$D$8-(0)-$E$8-(0))/($F$8+0.0025)</f>
        <v>156470977.546071</v>
      </c>
      <c r="F37" s="28" t="n">
        <f aca="false">$G$16-$C$8*(1-$D$8-$E$8)/$F$8+$C$8*(1)*(1-$D$8-(0)-$E$8-(0))/($F$8+-0.0025)</f>
        <v>168994507.790034</v>
      </c>
      <c r="G37" s="28" t="n">
        <f aca="false">E37-$G$16</f>
        <v>-5801341.21595332</v>
      </c>
      <c r="H37" s="28" t="n">
        <f aca="false">F37-$G$16</f>
        <v>6722189.02800942</v>
      </c>
      <c r="I37" s="62" t="n">
        <f aca="false">F37-E37</f>
        <v>12523530.2439627</v>
      </c>
    </row>
    <row r="38" customFormat="false" ht="15" hidden="false" customHeight="false" outlineLevel="0" collapsed="false">
      <c r="B38" s="8" t="s">
        <v>593</v>
      </c>
      <c r="C38" s="8" t="s">
        <v>594</v>
      </c>
      <c r="D38" s="8" t="s">
        <v>595</v>
      </c>
      <c r="E38" s="28" t="n">
        <f aca="false">$G$16-$C$8*(1-$D$8-$E$8)/$F$8+$C$8*(1)*(1-$D$8-(0.06-$D$8)-$E$8-(0))/($F$8+0)</f>
        <v>158286456.091299</v>
      </c>
      <c r="F38" s="28" t="n">
        <f aca="false">$G$16-$C$8*(1-$D$8-$E$8)/$F$8+$C$8*(1)*(1-$D$8-(0.005-$D$8)-$E$8-(0))/($F$8+0)</f>
        <v>163767017.263546</v>
      </c>
      <c r="G38" s="28" t="n">
        <f aca="false">E38-$G$16</f>
        <v>-3985862.67072555</v>
      </c>
      <c r="H38" s="28" t="n">
        <f aca="false">F38-$G$16</f>
        <v>1494698.50152209</v>
      </c>
      <c r="I38" s="62" t="n">
        <f aca="false">F38-E38</f>
        <v>5480561.17224765</v>
      </c>
    </row>
    <row r="39" customFormat="false" ht="15" hidden="false" customHeight="false" outlineLevel="0" collapsed="false">
      <c r="B39" s="12" t="s">
        <v>596</v>
      </c>
      <c r="C39" s="8" t="s">
        <v>588</v>
      </c>
      <c r="D39" s="8" t="s">
        <v>589</v>
      </c>
      <c r="E39" s="28" t="n">
        <f aca="false">$G$16-$C$9*(1-$D$9-$E$9)/$F$9+$C$9*(0.9)*(1-$D$9-(0)-$E$9-(0))/($F$9+0)</f>
        <v>160118241.250059</v>
      </c>
      <c r="F39" s="28" t="n">
        <f aca="false">$G$16-$C$9*(1-$D$9-$E$9)/$F$9+$C$9*(1.1)*(1-$D$9-(0)-$E$9-(0))/($F$9+0)</f>
        <v>164426396.273989</v>
      </c>
      <c r="G39" s="28" t="n">
        <f aca="false">E39-$G$16</f>
        <v>-2154077.51196501</v>
      </c>
      <c r="H39" s="28" t="n">
        <f aca="false">F39-$G$16</f>
        <v>2154077.51196501</v>
      </c>
      <c r="I39" s="62" t="n">
        <f aca="false">F39-E39</f>
        <v>4308155.02393001</v>
      </c>
    </row>
    <row r="40" customFormat="false" ht="15" hidden="false" customHeight="false" outlineLevel="0" collapsed="false">
      <c r="B40" s="8" t="s">
        <v>597</v>
      </c>
      <c r="C40" s="8" t="s">
        <v>598</v>
      </c>
      <c r="D40" s="8" t="s">
        <v>599</v>
      </c>
      <c r="E40" s="28" t="n">
        <f aca="false">$G$16-$C$10*(1-$D$10-$E$10)/$F$10+$C$10*(0.8)*(1-$D$10-(0)-$E$10-(0))/($F$10+0)</f>
        <v>158983822.09544</v>
      </c>
      <c r="F40" s="28" t="n">
        <f aca="false">$G$16-$C$10*(1-$D$10-$E$10)/$F$10+$C$10*(1.2)*(1-$D$10-(0)-$E$10-(0))/($F$10+0)</f>
        <v>165560815.428609</v>
      </c>
      <c r="G40" s="28" t="n">
        <f aca="false">E40-$G$16</f>
        <v>-3288496.66658467</v>
      </c>
      <c r="H40" s="28" t="n">
        <f aca="false">F40-$G$16</f>
        <v>3288496.66658467</v>
      </c>
      <c r="I40" s="62" t="n">
        <f aca="false">F40-E40</f>
        <v>6576993.33316934</v>
      </c>
    </row>
    <row r="41" customFormat="false" ht="15" hidden="false" customHeight="false" outlineLevel="0" collapsed="false">
      <c r="B41" s="8" t="s">
        <v>600</v>
      </c>
      <c r="C41" s="8" t="s">
        <v>598</v>
      </c>
      <c r="D41" s="8" t="s">
        <v>599</v>
      </c>
      <c r="E41" s="28" t="n">
        <f aca="false">$G$16-$C$11*(1-$D$11-$E$11)/$F$11+$C$11*(0.8)*(1-$D$11-(0)-$E$11-(0))/($F$11+0)</f>
        <v>160605265.166113</v>
      </c>
      <c r="F41" s="28" t="n">
        <f aca="false">$G$16-$C$11*(1-$D$11-$E$11)/$F$11+$C$11*(1.2)*(1-$D$11-(0)-$E$11-(0))/($F$11+0)</f>
        <v>163939372.357935</v>
      </c>
      <c r="G41" s="28" t="n">
        <f aca="false">E41-$G$16</f>
        <v>-1667053.59591088</v>
      </c>
      <c r="H41" s="28" t="n">
        <f aca="false">F41-$G$16</f>
        <v>1667053.59591091</v>
      </c>
      <c r="I41" s="62" t="n">
        <f aca="false">F41-E41</f>
        <v>3334107.19182178</v>
      </c>
    </row>
    <row r="42" customFormat="false" ht="15" hidden="false" customHeight="false" outlineLevel="0" collapsed="false">
      <c r="B42" s="8" t="s">
        <v>601</v>
      </c>
      <c r="C42" s="8" t="s">
        <v>598</v>
      </c>
      <c r="D42" s="8" t="s">
        <v>599</v>
      </c>
      <c r="E42" s="28" t="n">
        <f aca="false">$G$16-$C$12*(1-$D$12-$E$12)/$F$12+$C$12*(0.8)*(1-$D$12-(0)-$E$12-(0))/($F$12+0)</f>
        <v>160152856.446095</v>
      </c>
      <c r="F42" s="28" t="n">
        <f aca="false">$G$16-$C$12*(1-$D$12-$E$12)/$F$12+$C$12*(1.2)*(1-$D$12-(0)-$E$12-(0))/($F$12+0)</f>
        <v>164391781.077953</v>
      </c>
      <c r="G42" s="28" t="n">
        <f aca="false">E42-$G$16</f>
        <v>-2119462.31592891</v>
      </c>
      <c r="H42" s="28" t="n">
        <f aca="false">F42-$G$16</f>
        <v>2119462.31592891</v>
      </c>
      <c r="I42" s="62" t="n">
        <f aca="false">F42-E42</f>
        <v>4238924.63185781</v>
      </c>
    </row>
    <row r="43" customFormat="false" ht="15" hidden="false" customHeight="false" outlineLevel="0" collapsed="false">
      <c r="B43" s="8" t="s">
        <v>602</v>
      </c>
      <c r="C43" s="8" t="s">
        <v>603</v>
      </c>
      <c r="D43" s="8" t="s">
        <v>604</v>
      </c>
      <c r="E43" s="28" t="n">
        <f aca="false">$G$16-$C$10*(1-$D$10-$E$10)/$F$10+$C$10*(1)*(1-$D$10-(0)-$E$10-(0))/($F$10+0.005)-$C$11*(1-$D$11-$E$11)/$F$11+$C$11*(1)*(1-$D$11-(0)-$E$11-(0))/($F$11+0.005)-$C$12*(1-$D$12-$E$12)/$F$12+$C$12*(1)*(1-$D$12-(0)-$E$12-(0))/($F$12+0.005)</f>
        <v>159217143.210635</v>
      </c>
      <c r="F43" s="28" t="n">
        <f aca="false">$G$16-$C$10*(1-$D$10-$E$10)/$F$10+$C$10*(1)*(1-$D$10-(0)-$E$10-(0))/($F$10+-0.005)-$C$11*(1-$D$11-$E$11)/$F$11+$C$11*(1)*(1-$D$11-(0)-$E$11-(0))/($F$11+-0.005)-$C$12*(1-$D$12-$E$12)/$F$12+$C$12*(1)*(1-$D$12-(0)-$E$12-(0))/($F$12+-0.005)</f>
        <v>165966478.621324</v>
      </c>
      <c r="G43" s="28" t="n">
        <f aca="false">E43-$G$16</f>
        <v>-3055175.55138877</v>
      </c>
      <c r="H43" s="28" t="n">
        <f aca="false">F43-$G$16</f>
        <v>3694159.85929972</v>
      </c>
      <c r="I43" s="62" t="n">
        <f aca="false">F43-E43</f>
        <v>6749335.41068849</v>
      </c>
    </row>
    <row r="44" customFormat="false" ht="15" hidden="false" customHeight="false" outlineLevel="0" collapsed="false">
      <c r="B44" s="8" t="s">
        <v>605</v>
      </c>
      <c r="C44" s="8" t="s">
        <v>606</v>
      </c>
      <c r="D44" s="8" t="s">
        <v>607</v>
      </c>
      <c r="E44" s="28" t="n">
        <f aca="false">$G$16-$C$8*(1-$D$8-$E$8)/$F$8+$C$8*(1)*(1-$D$8-(0)-$E$8-(0.03))/($F$8+0)-$C$9*(1-$D$9-$E$9)/$F$9+$C$9*(1)*(1-$D$9-(0)-$E$9-(0.03))/($F$9+0)</f>
        <v>158504339.52574</v>
      </c>
      <c r="F44" s="28" t="n">
        <f aca="false">$G$16-$C$8*(1-$D$8-$E$8)/$F$8+$C$8*(1)*(1-$D$8-(0)-$E$8-(-0.03))/($F$8+0)-$C$9*(1-$D$9-$E$9)/$F$9+$C$9*(1)*(1-$D$9-(0)-$E$9-(-0.03))/($F$9+0)</f>
        <v>166040297.998309</v>
      </c>
      <c r="G44" s="28" t="n">
        <f aca="false">E44-$G$16</f>
        <v>-3767979.23628455</v>
      </c>
      <c r="H44" s="28" t="n">
        <f aca="false">F44-$G$16</f>
        <v>3767979.23628455</v>
      </c>
      <c r="I44" s="62" t="n">
        <f aca="false">F44-E44</f>
        <v>7535958.47256911</v>
      </c>
    </row>
    <row r="45" customFormat="false" ht="15" hidden="false" customHeight="false" outlineLevel="0" collapsed="false">
      <c r="B45" s="8" t="s">
        <v>608</v>
      </c>
      <c r="C45" s="8" t="s">
        <v>609</v>
      </c>
      <c r="D45" s="8" t="s">
        <v>610</v>
      </c>
      <c r="E45" s="28" t="n">
        <f aca="false">$G$16-$C$13*(1-$D$13-$E$13)/$F$13+$C$13*(0.75)*(1-$D$13-(0)-$E$13-(0))/($F$13+0)</f>
        <v>159801295.346024</v>
      </c>
      <c r="F45" s="28" t="n">
        <f aca="false">$G$16-$C$13*(1-$D$13-$E$13)/$F$13+$C$13*(1.25)*(1-$D$13-(0)-$E$13-(0))/($F$13+0)</f>
        <v>164743342.178024</v>
      </c>
      <c r="G45" s="28" t="n">
        <f aca="false">E45-$G$16</f>
        <v>-2471023.41600001</v>
      </c>
      <c r="H45" s="28" t="n">
        <f aca="false">F45-$G$16</f>
        <v>2471023.41600001</v>
      </c>
      <c r="I45" s="62" t="n">
        <f aca="false">F45-E45</f>
        <v>4942046.83200002</v>
      </c>
    </row>
    <row r="46" customFormat="false" ht="15" hidden="false" customHeight="false" outlineLevel="0" collapsed="false">
      <c r="B46" s="12" t="s">
        <v>611</v>
      </c>
      <c r="C46" s="8" t="s">
        <v>612</v>
      </c>
      <c r="D46" s="8" t="s">
        <v>599</v>
      </c>
      <c r="E46" s="28" t="n">
        <f aca="false">$G$16-$C$14*(1-$D$14-$E$14)/$F$14+$C$14*(0.7)*(1-$D$14-(0)-$E$14-(0))/($F$14+0)</f>
        <v>160822318.762024</v>
      </c>
      <c r="F46" s="28" t="n">
        <f aca="false">$G$16-$C$14*(1-$D$14-$E$14)/$F$14+$C$14*(1.2)*(1-$D$14-(0)-$E$14-(0))/($F$14+0)</f>
        <v>163238985.428691</v>
      </c>
      <c r="G46" s="28" t="n">
        <f aca="false">E46-$G$16</f>
        <v>-1450000</v>
      </c>
      <c r="H46" s="28" t="n">
        <f aca="false">F46-$G$16</f>
        <v>966666.666666657</v>
      </c>
      <c r="I46" s="62" t="n">
        <f aca="false">F46-E46</f>
        <v>2416666.66666666</v>
      </c>
    </row>
    <row r="47" customFormat="false" ht="15" hidden="false" customHeight="false" outlineLevel="0" collapsed="false">
      <c r="B47" s="12" t="s">
        <v>613</v>
      </c>
      <c r="C47" s="8" t="s">
        <v>612</v>
      </c>
      <c r="D47" s="8" t="s">
        <v>599</v>
      </c>
      <c r="E47" s="28" t="n">
        <f aca="false">$G$16-$C$15*(1-$D$15-$E$15)/$F$15+$C$15*(0.7)*(1-$D$15-(0)-$E$15-(0))/($F$15+0)</f>
        <v>160490477.162024</v>
      </c>
      <c r="F47" s="28" t="n">
        <f aca="false">$G$16-$C$15*(1-$D$15-$E$15)/$F$15+$C$15*(1.2)*(1-$D$15-(0)-$E$15-(0))/($F$15+0)</f>
        <v>163460213.162024</v>
      </c>
      <c r="G47" s="28" t="n">
        <f aca="false">E47-$G$16</f>
        <v>-1781841.59999999</v>
      </c>
      <c r="H47" s="28" t="n">
        <f aca="false">F47-$G$16</f>
        <v>1187894.40000001</v>
      </c>
      <c r="I47" s="62" t="n">
        <f aca="false">F47-E47</f>
        <v>2969736</v>
      </c>
    </row>
    <row r="48" customFormat="false" ht="15" hidden="false" customHeight="false" outlineLevel="0" collapsed="false">
      <c r="B48" s="12" t="s">
        <v>614</v>
      </c>
      <c r="C48" s="8" t="s">
        <v>615</v>
      </c>
      <c r="D48" s="8" t="s">
        <v>604</v>
      </c>
      <c r="E48" s="28" t="n">
        <f aca="false">$G$16-$C$14*(1-$D$14-$E$14)/$F$14+$C$14*(1)*(1-$D$14-(0)-$E$14-(0))/($F$14+0.01)-$C$15*(1-$D$15-$E$15)/$F$15+$C$15*(1)*(1-$D$15-(0)-$E$15-(0))/($F$15+0.01)</f>
        <v>160646441.849744</v>
      </c>
      <c r="F48" s="28" t="n">
        <f aca="false">$G$16-$C$14*(1-$D$14-$E$14)/$F$14+$C$14*(1)*(1-$D$14-(0)-$E$14-(0))/($F$14+-0.005)-$C$15*(1-$D$15-$E$15)/$F$15+$C$15*(1)*(1-$D$15-(0)-$E$15-(0))/($F$15+-0.005)</f>
        <v>163328434.958746</v>
      </c>
      <c r="G48" s="28" t="n">
        <f aca="false">E48-$G$16</f>
        <v>-1625876.91228071</v>
      </c>
      <c r="H48" s="28" t="n">
        <f aca="false">F48-$G$16</f>
        <v>1056116.19672132</v>
      </c>
      <c r="I48" s="62" t="n">
        <f aca="false">F48-E48</f>
        <v>2681993.10900202</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N7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9"/>
    <col collapsed="false" customWidth="true" hidden="false" outlineLevel="0" max="3" min="3" style="0" width="34"/>
    <col collapsed="false" customWidth="true" hidden="false" outlineLevel="0" max="7" min="4" style="0" width="11"/>
    <col collapsed="false" customWidth="true" hidden="false" outlineLevel="0" max="9" min="8" style="0" width="12"/>
    <col collapsed="false" customWidth="true" hidden="false" outlineLevel="0" max="11" min="10" style="0" width="11"/>
    <col collapsed="false" customWidth="true" hidden="false" outlineLevel="0" max="13" min="12" style="0" width="13"/>
    <col collapsed="false" customWidth="true" hidden="false" outlineLevel="0" max="14" min="14" style="0" width="14"/>
  </cols>
  <sheetData>
    <row r="2" customFormat="false" ht="19.7" hidden="false" customHeight="false" outlineLevel="0" collapsed="false">
      <c r="B2" s="26" t="s">
        <v>616</v>
      </c>
    </row>
    <row r="3" customFormat="false" ht="15" hidden="false" customHeight="false" outlineLevel="0" collapsed="false">
      <c r="B3" s="4" t="s">
        <v>617</v>
      </c>
    </row>
    <row r="5" customFormat="false" ht="15" hidden="false" customHeight="false" outlineLevel="0" collapsed="false">
      <c r="B5" s="5" t="s">
        <v>618</v>
      </c>
    </row>
    <row r="6" customFormat="false" ht="31.5" hidden="false" customHeight="true" outlineLevel="0" collapsed="false">
      <c r="B6" s="6" t="s">
        <v>73</v>
      </c>
      <c r="C6" s="6" t="s">
        <v>619</v>
      </c>
      <c r="D6" s="7" t="s">
        <v>156</v>
      </c>
      <c r="E6" s="7" t="s">
        <v>158</v>
      </c>
      <c r="F6" s="7" t="s">
        <v>620</v>
      </c>
      <c r="G6" s="7" t="s">
        <v>160</v>
      </c>
      <c r="H6" s="7" t="s">
        <v>621</v>
      </c>
    </row>
    <row r="7" customFormat="false" ht="15" hidden="false" customHeight="false" outlineLevel="0" collapsed="false">
      <c r="B7" s="8" t="s">
        <v>91</v>
      </c>
      <c r="C7" s="8" t="s">
        <v>622</v>
      </c>
      <c r="D7" s="95" t="n">
        <v>30</v>
      </c>
      <c r="E7" s="95" t="n">
        <v>22</v>
      </c>
      <c r="F7" s="27" t="n">
        <v>31400</v>
      </c>
      <c r="G7" s="95" t="n">
        <v>0</v>
      </c>
      <c r="H7" s="55" t="n">
        <f aca="false">D7-E7-G7</f>
        <v>8</v>
      </c>
    </row>
    <row r="8" customFormat="false" ht="15" hidden="false" customHeight="false" outlineLevel="0" collapsed="false">
      <c r="B8" s="8" t="s">
        <v>93</v>
      </c>
      <c r="C8" s="8" t="s">
        <v>94</v>
      </c>
      <c r="D8" s="95" t="n">
        <v>6</v>
      </c>
      <c r="E8" s="95" t="n">
        <v>3</v>
      </c>
      <c r="F8" s="27" t="n">
        <v>5000</v>
      </c>
      <c r="G8" s="95" t="n">
        <v>0</v>
      </c>
      <c r="H8" s="55" t="n">
        <f aca="false">D8-E8-G8</f>
        <v>3</v>
      </c>
    </row>
    <row r="9" customFormat="false" ht="15" hidden="false" customHeight="false" outlineLevel="0" collapsed="false">
      <c r="B9" s="8" t="s">
        <v>98</v>
      </c>
      <c r="C9" s="8" t="s">
        <v>623</v>
      </c>
      <c r="D9" s="95" t="n">
        <v>37</v>
      </c>
      <c r="E9" s="95" t="n">
        <v>28</v>
      </c>
      <c r="F9" s="71" t="s">
        <v>247</v>
      </c>
      <c r="G9" s="95" t="n">
        <v>0</v>
      </c>
      <c r="H9" s="55" t="n">
        <f aca="false">D9-E9-G9</f>
        <v>9</v>
      </c>
    </row>
    <row r="10" customFormat="false" ht="15" hidden="false" customHeight="false" outlineLevel="0" collapsed="false">
      <c r="B10" s="8" t="s">
        <v>95</v>
      </c>
      <c r="C10" s="8" t="s">
        <v>241</v>
      </c>
      <c r="D10" s="95" t="n">
        <v>77</v>
      </c>
      <c r="E10" s="95" t="n">
        <v>50</v>
      </c>
      <c r="F10" s="27" t="n">
        <v>60000</v>
      </c>
      <c r="G10" s="95" t="n">
        <v>7</v>
      </c>
      <c r="H10" s="55" t="n">
        <f aca="false">D10-E10-G10</f>
        <v>20</v>
      </c>
    </row>
    <row r="11" customFormat="false" ht="15" hidden="false" customHeight="false" outlineLevel="0" collapsed="false">
      <c r="B11" s="20"/>
      <c r="C11" s="20" t="s">
        <v>624</v>
      </c>
      <c r="D11" s="53" t="n">
        <f aca="false">SUM(D7:D10)</f>
        <v>150</v>
      </c>
      <c r="E11" s="53" t="n">
        <f aca="false">SUM(E7:E10)</f>
        <v>103</v>
      </c>
      <c r="F11" s="23" t="n">
        <f aca="false">SUM(F7:F10)</f>
        <v>96400</v>
      </c>
      <c r="G11" s="53" t="n">
        <f aca="false">SUM(G7:G10)</f>
        <v>7</v>
      </c>
      <c r="H11" s="53" t="n">
        <f aca="false">SUM(H7:H10)</f>
        <v>40</v>
      </c>
    </row>
    <row r="12" customFormat="false" ht="15" hidden="false" customHeight="false" outlineLevel="0" collapsed="false">
      <c r="B12" s="4" t="s">
        <v>625</v>
      </c>
    </row>
    <row r="14" customFormat="false" ht="15" hidden="false" customHeight="false" outlineLevel="0" collapsed="false">
      <c r="B14" s="5" t="s">
        <v>626</v>
      </c>
    </row>
    <row r="15" customFormat="false" ht="43.5" hidden="false" customHeight="true" outlineLevel="0" collapsed="false">
      <c r="B15" s="6" t="s">
        <v>73</v>
      </c>
      <c r="C15" s="6" t="s">
        <v>619</v>
      </c>
      <c r="D15" s="7" t="s">
        <v>81</v>
      </c>
      <c r="E15" s="7" t="s">
        <v>83</v>
      </c>
      <c r="F15" s="7" t="s">
        <v>627</v>
      </c>
      <c r="G15" s="7" t="s">
        <v>628</v>
      </c>
      <c r="H15" s="7" t="s">
        <v>629</v>
      </c>
      <c r="I15" s="7" t="s">
        <v>156</v>
      </c>
      <c r="J15" s="7" t="s">
        <v>630</v>
      </c>
      <c r="K15" s="7" t="s">
        <v>631</v>
      </c>
      <c r="L15" s="7" t="s">
        <v>632</v>
      </c>
      <c r="M15" s="7" t="s">
        <v>633</v>
      </c>
      <c r="N15" s="7" t="s">
        <v>634</v>
      </c>
    </row>
    <row r="16" customFormat="false" ht="15" hidden="false" customHeight="false" outlineLevel="0" collapsed="false">
      <c r="B16" s="8" t="s">
        <v>91</v>
      </c>
      <c r="C16" s="8" t="s">
        <v>635</v>
      </c>
      <c r="D16" s="11" t="n">
        <f aca="false">01_Kennwerte!$K$6</f>
        <v>19115</v>
      </c>
      <c r="E16" s="11" t="n">
        <f aca="false">01_Kennwerte!$M$6</f>
        <v>12246</v>
      </c>
      <c r="F16" s="11" t="n">
        <f aca="false">08_Annahmen!$C$78</f>
        <v>700.636942675159</v>
      </c>
      <c r="G16" s="11" t="n">
        <f aca="false">08_Annahmen!$C$77</f>
        <v>500</v>
      </c>
      <c r="H16" s="96" t="n">
        <f aca="false">(D16*F16+E16*G16)/1000000</f>
        <v>19.5156751592357</v>
      </c>
      <c r="I16" s="59" t="n">
        <f aca="false">D7</f>
        <v>30</v>
      </c>
      <c r="J16" s="42" t="n">
        <f aca="false">(13_Bewertung!$G$40)/1000000</f>
        <v>29.7237022278959</v>
      </c>
      <c r="K16" s="42" t="n">
        <f aca="false">(13_Bewertung!$K$40)/1000000</f>
        <v>28.2686363655641</v>
      </c>
      <c r="L16" s="59" t="n">
        <f aca="false">G7</f>
        <v>0</v>
      </c>
      <c r="M16" s="96" t="n">
        <f aca="false">I16-H16-L16</f>
        <v>10.4843248407643</v>
      </c>
      <c r="N16" s="97" t="n">
        <f aca="false">J16-H16-L16</f>
        <v>10.2080270686603</v>
      </c>
    </row>
    <row r="17" customFormat="false" ht="15" hidden="false" customHeight="false" outlineLevel="0" collapsed="false">
      <c r="B17" s="8" t="s">
        <v>93</v>
      </c>
      <c r="C17" s="8" t="s">
        <v>636</v>
      </c>
      <c r="D17" s="11" t="n">
        <f aca="false">01_Kennwerte!$K$7</f>
        <v>3064</v>
      </c>
      <c r="E17" s="11" t="n">
        <f aca="false">01_Kennwerte!$M$7</f>
        <v>1230</v>
      </c>
      <c r="F17" s="11" t="n">
        <f aca="false">08_Annahmen!$C$79</f>
        <v>600</v>
      </c>
      <c r="G17" s="11" t="n">
        <f aca="false">08_Annahmen!$C$77</f>
        <v>500</v>
      </c>
      <c r="H17" s="96" t="n">
        <f aca="false">(D17*F17+E17*G17)/1000000</f>
        <v>2.4534</v>
      </c>
      <c r="I17" s="59" t="n">
        <f aca="false">D8</f>
        <v>6</v>
      </c>
      <c r="J17" s="42" t="n">
        <f aca="false">(13_Bewertung!$G$41)/1000000</f>
        <v>6.28495336888832</v>
      </c>
      <c r="K17" s="42" t="n">
        <f aca="false">(13_Bewertung!$K$41)/1000000</f>
        <v>5.97087975009995</v>
      </c>
      <c r="L17" s="59" t="n">
        <f aca="false">G8</f>
        <v>0</v>
      </c>
      <c r="M17" s="96" t="n">
        <f aca="false">I17-H17-L17</f>
        <v>3.5466</v>
      </c>
      <c r="N17" s="97" t="n">
        <f aca="false">J17-H17-L17</f>
        <v>3.83155336888832</v>
      </c>
    </row>
    <row r="18" customFormat="false" ht="15" hidden="false" customHeight="false" outlineLevel="0" collapsed="false">
      <c r="B18" s="8" t="s">
        <v>98</v>
      </c>
      <c r="C18" s="8" t="s">
        <v>623</v>
      </c>
      <c r="D18" s="11" t="n">
        <f aca="false">01_Kennwerte!$K$10+01_Kennwerte!$K$11</f>
        <v>38620</v>
      </c>
      <c r="E18" s="11" t="n">
        <f aca="false">01_Kennwerte!$M$10+01_Kennwerte!$M$11</f>
        <v>10482</v>
      </c>
      <c r="F18" s="11" t="n">
        <f aca="false">08_Annahmen!$C$81</f>
        <v>570.241538022891</v>
      </c>
      <c r="G18" s="11" t="n">
        <f aca="false">08_Annahmen!$C$77</f>
        <v>500</v>
      </c>
      <c r="H18" s="96" t="n">
        <f aca="false">(D18*F18+E18*G18)/1000000</f>
        <v>27.2637281984441</v>
      </c>
      <c r="I18" s="59" t="n">
        <f aca="false">D9</f>
        <v>37</v>
      </c>
      <c r="J18" s="42" t="n">
        <f aca="false">(13_Bewertung!$G$44+13_Bewertung!$G$45)/1000000</f>
        <v>37.0484409625339</v>
      </c>
      <c r="K18" s="42" t="n">
        <f aca="false">(13_Bewertung!$K$44+13_Bewertung!$K$45)/1000000</f>
        <v>35.1543734254442</v>
      </c>
      <c r="L18" s="59" t="n">
        <f aca="false">G9</f>
        <v>0</v>
      </c>
      <c r="M18" s="96" t="n">
        <f aca="false">I18-H18-L18</f>
        <v>9.73627180155594</v>
      </c>
      <c r="N18" s="97" t="n">
        <f aca="false">J18-H18-L18</f>
        <v>9.78471276408983</v>
      </c>
    </row>
    <row r="19" customFormat="false" ht="15" hidden="false" customHeight="false" outlineLevel="0" collapsed="false">
      <c r="B19" s="8" t="s">
        <v>95</v>
      </c>
      <c r="C19" s="8" t="s">
        <v>241</v>
      </c>
      <c r="D19" s="11" t="n">
        <f aca="false">01_Kennwerte!$K$8</f>
        <v>36949</v>
      </c>
      <c r="E19" s="11" t="n">
        <f aca="false">01_Kennwerte!$M$8</f>
        <v>15584</v>
      </c>
      <c r="F19" s="11" t="n">
        <f aca="false">08_Annahmen!$C$80</f>
        <v>833.333333333333</v>
      </c>
      <c r="G19" s="11" t="n">
        <f aca="false">08_Annahmen!$C$77</f>
        <v>500</v>
      </c>
      <c r="H19" s="96" t="n">
        <f aca="false">(D19*F19+E19*G19)/1000000</f>
        <v>38.5828333333333</v>
      </c>
      <c r="I19" s="59" t="n">
        <f aca="false">D10</f>
        <v>77</v>
      </c>
      <c r="J19" s="42" t="n">
        <f aca="false">(13_Bewertung!$G$42)/1000000</f>
        <v>59.6529995250226</v>
      </c>
      <c r="K19" s="42" t="n">
        <f aca="false">(13_Bewertung!$K$42)/1000000</f>
        <v>56.732772352254</v>
      </c>
      <c r="L19" s="59" t="n">
        <f aca="false">G10</f>
        <v>7</v>
      </c>
      <c r="M19" s="96" t="n">
        <f aca="false">I19-H19-L19</f>
        <v>31.4171666666667</v>
      </c>
      <c r="N19" s="97" t="n">
        <f aca="false">J19-H19-L19</f>
        <v>14.0701661916892</v>
      </c>
    </row>
    <row r="20" customFormat="false" ht="15" hidden="false" customHeight="false" outlineLevel="0" collapsed="false">
      <c r="B20" s="29" t="s">
        <v>93</v>
      </c>
      <c r="C20" s="30" t="s">
        <v>637</v>
      </c>
      <c r="D20" s="33" t="n">
        <f aca="false">01_Kennwerte!$K$9</f>
        <v>17818.89</v>
      </c>
      <c r="E20" s="33" t="n">
        <f aca="false">01_Kennwerte!$M$9</f>
        <v>17764</v>
      </c>
      <c r="F20" s="33" t="n">
        <f aca="false">08_Annahmen!$C$82</f>
        <v>700</v>
      </c>
      <c r="G20" s="33" t="n">
        <f aca="false">08_Annahmen!$C$77</f>
        <v>500</v>
      </c>
      <c r="H20" s="98" t="n">
        <f aca="false">(D20*F20+E20*G20)/1000000</f>
        <v>21.355223</v>
      </c>
      <c r="I20" s="98" t="n">
        <f aca="false">J20</f>
        <v>29.5622226776835</v>
      </c>
      <c r="J20" s="99" t="n">
        <f aca="false">(13_Bewertung!$G$43)/1000000</f>
        <v>29.5622226776835</v>
      </c>
      <c r="K20" s="99" t="n">
        <f aca="false">(13_Bewertung!$K$43)/1000000</f>
        <v>27.9610138832775</v>
      </c>
      <c r="L20" s="100" t="n">
        <v>0</v>
      </c>
      <c r="M20" s="98" t="n">
        <f aca="false">I20-H20-L20</f>
        <v>8.20699967768348</v>
      </c>
      <c r="N20" s="101" t="n">
        <f aca="false">J20-H20-L20</f>
        <v>8.20699967768348</v>
      </c>
    </row>
    <row r="21" customFormat="false" ht="15" hidden="false" customHeight="false" outlineLevel="0" collapsed="false">
      <c r="B21" s="20"/>
      <c r="C21" s="20" t="s">
        <v>624</v>
      </c>
      <c r="D21" s="23" t="n">
        <f aca="false">SUM(D16:D20)</f>
        <v>115566.89</v>
      </c>
      <c r="E21" s="23" t="n">
        <f aca="false">SUM(E16:E20)</f>
        <v>57306</v>
      </c>
      <c r="F21" s="20"/>
      <c r="G21" s="20"/>
      <c r="H21" s="102" t="n">
        <f aca="false">SUM(H16:H20)</f>
        <v>109.170859691013</v>
      </c>
      <c r="I21" s="102" t="n">
        <f aca="false">SUM(I16:I20)</f>
        <v>179.562222677683</v>
      </c>
      <c r="J21" s="102" t="n">
        <f aca="false">SUM(J16:J20)</f>
        <v>162.272318762024</v>
      </c>
      <c r="K21" s="102" t="n">
        <f aca="false">SUM(K16:K20)</f>
        <v>154.08767577664</v>
      </c>
      <c r="L21" s="102" t="n">
        <f aca="false">SUM(L16:L20)</f>
        <v>7</v>
      </c>
      <c r="M21" s="102" t="n">
        <f aca="false">SUM(M16:M20)</f>
        <v>63.3913629866704</v>
      </c>
      <c r="N21" s="102" t="n">
        <f aca="false">SUM(N16:N20)</f>
        <v>46.1014590710111</v>
      </c>
    </row>
    <row r="22" customFormat="false" ht="15" hidden="false" customHeight="false" outlineLevel="0" collapsed="false">
      <c r="B22" s="4" t="s">
        <v>638</v>
      </c>
    </row>
    <row r="23" customFormat="false" ht="15" hidden="false" customHeight="false" outlineLevel="0" collapsed="false">
      <c r="B23" s="4" t="s">
        <v>639</v>
      </c>
    </row>
    <row r="25" customFormat="false" ht="15" hidden="false" customHeight="false" outlineLevel="0" collapsed="false">
      <c r="B25" s="5" t="s">
        <v>640</v>
      </c>
    </row>
    <row r="26" customFormat="false" ht="19.5" hidden="false" customHeight="true" outlineLevel="0" collapsed="false">
      <c r="B26" s="6" t="s">
        <v>5</v>
      </c>
      <c r="C26" s="7"/>
      <c r="D26" s="7" t="s">
        <v>641</v>
      </c>
      <c r="E26" s="7" t="s">
        <v>642</v>
      </c>
      <c r="F26" s="7" t="s">
        <v>643</v>
      </c>
      <c r="G26" s="7" t="s">
        <v>644</v>
      </c>
    </row>
    <row r="27" customFormat="false" ht="15" hidden="false" customHeight="false" outlineLevel="0" collapsed="false">
      <c r="B27" s="8" t="s">
        <v>645</v>
      </c>
      <c r="D27" s="59" t="n">
        <f aca="false">D11</f>
        <v>150</v>
      </c>
      <c r="E27" s="59" t="n">
        <f aca="false">I21</f>
        <v>179.562222677683</v>
      </c>
      <c r="F27" s="59" t="n">
        <f aca="false">E27-D27</f>
        <v>29.5622226776835</v>
      </c>
      <c r="G27" s="34" t="n">
        <f aca="false">IF(D27=0,0,F27/D27)</f>
        <v>0.19708148451789</v>
      </c>
    </row>
    <row r="28" customFormat="false" ht="15" hidden="false" customHeight="false" outlineLevel="0" collapsed="false">
      <c r="B28" s="8" t="s">
        <v>646</v>
      </c>
      <c r="D28" s="59" t="n">
        <f aca="false">E11</f>
        <v>103</v>
      </c>
      <c r="E28" s="59" t="n">
        <f aca="false">H21</f>
        <v>109.170859691013</v>
      </c>
      <c r="F28" s="59" t="n">
        <f aca="false">E28-D28</f>
        <v>6.17085969101305</v>
      </c>
      <c r="G28" s="34" t="n">
        <f aca="false">IF(D28=0,0,F28/D28)</f>
        <v>0.059911259136049</v>
      </c>
    </row>
    <row r="29" customFormat="false" ht="15" hidden="false" customHeight="false" outlineLevel="0" collapsed="false">
      <c r="B29" s="8" t="s">
        <v>647</v>
      </c>
      <c r="D29" s="59" t="n">
        <f aca="false">G11</f>
        <v>7</v>
      </c>
      <c r="E29" s="59" t="n">
        <f aca="false">L21</f>
        <v>7</v>
      </c>
      <c r="F29" s="59" t="n">
        <f aca="false">E29-D29</f>
        <v>0</v>
      </c>
      <c r="G29" s="34" t="n">
        <f aca="false">IF(D29=0,0,F29/D29)</f>
        <v>0</v>
      </c>
    </row>
    <row r="30" customFormat="false" ht="15" hidden="false" customHeight="false" outlineLevel="0" collapsed="false">
      <c r="B30" s="12" t="s">
        <v>648</v>
      </c>
      <c r="D30" s="59" t="n">
        <f aca="false">H11</f>
        <v>40</v>
      </c>
      <c r="E30" s="55" t="n">
        <f aca="false">M21</f>
        <v>63.3913629866704</v>
      </c>
      <c r="F30" s="59" t="n">
        <f aca="false">E30-D30</f>
        <v>23.3913629866704</v>
      </c>
      <c r="G30" s="34" t="n">
        <f aca="false">IF(D30=0,0,F30/D30)</f>
        <v>0.58478407466676</v>
      </c>
    </row>
    <row r="32" customFormat="false" ht="15" hidden="false" customHeight="false" outlineLevel="0" collapsed="false">
      <c r="B32" s="5" t="s">
        <v>649</v>
      </c>
    </row>
    <row r="33" customFormat="false" ht="19.5" hidden="false" customHeight="true" outlineLevel="0" collapsed="false">
      <c r="B33" s="6" t="s">
        <v>5</v>
      </c>
      <c r="C33" s="7"/>
      <c r="D33" s="7" t="s">
        <v>6</v>
      </c>
      <c r="E33" s="6" t="s">
        <v>7</v>
      </c>
      <c r="F33" s="6" t="s">
        <v>8</v>
      </c>
    </row>
    <row r="34" customFormat="false" ht="15" hidden="false" customHeight="false" outlineLevel="0" collapsed="false">
      <c r="B34" s="12" t="s">
        <v>650</v>
      </c>
      <c r="E34" s="96" t="n">
        <f aca="false">I21</f>
        <v>179.562222677683</v>
      </c>
      <c r="F34" s="8" t="s">
        <v>30</v>
      </c>
      <c r="G34" s="10" t="s">
        <v>651</v>
      </c>
    </row>
    <row r="35" customFormat="false" ht="15" hidden="false" customHeight="false" outlineLevel="0" collapsed="false">
      <c r="B35" s="8" t="s">
        <v>652</v>
      </c>
      <c r="E35" s="97" t="n">
        <f aca="false">13_Bewertung!$G$26/1000000</f>
        <v>162.272318762024</v>
      </c>
      <c r="F35" s="8" t="s">
        <v>30</v>
      </c>
      <c r="G35" s="10" t="s">
        <v>653</v>
      </c>
    </row>
    <row r="36" customFormat="false" ht="15" hidden="false" customHeight="false" outlineLevel="0" collapsed="false">
      <c r="B36" s="8" t="s">
        <v>24</v>
      </c>
      <c r="E36" s="97" t="n">
        <f aca="false">13_Bewertung!$J$26/1000000</f>
        <v>154.08767577664</v>
      </c>
      <c r="F36" s="8" t="s">
        <v>30</v>
      </c>
      <c r="G36" s="10"/>
    </row>
    <row r="37" customFormat="false" ht="15" hidden="false" customHeight="false" outlineLevel="0" collapsed="false">
      <c r="B37" s="8" t="s">
        <v>32</v>
      </c>
      <c r="E37" s="97" t="n">
        <f aca="false">H21</f>
        <v>109.170859691013</v>
      </c>
      <c r="F37" s="8" t="s">
        <v>30</v>
      </c>
      <c r="G37" s="10" t="s">
        <v>654</v>
      </c>
    </row>
    <row r="38" customFormat="false" ht="15" hidden="false" customHeight="false" outlineLevel="0" collapsed="false">
      <c r="B38" s="12" t="s">
        <v>34</v>
      </c>
      <c r="E38" s="96" t="n">
        <f aca="false">M21</f>
        <v>63.3913629866704</v>
      </c>
      <c r="F38" s="8" t="s">
        <v>30</v>
      </c>
      <c r="G38" s="10" t="s">
        <v>655</v>
      </c>
    </row>
    <row r="39" customFormat="false" ht="15" hidden="false" customHeight="false" outlineLevel="0" collapsed="false">
      <c r="B39" s="8" t="s">
        <v>36</v>
      </c>
      <c r="E39" s="97" t="n">
        <f aca="false">N21</f>
        <v>46.1014590710111</v>
      </c>
      <c r="F39" s="8" t="s">
        <v>30</v>
      </c>
      <c r="G39" s="10" t="s">
        <v>656</v>
      </c>
    </row>
    <row r="40" customFormat="false" ht="15" hidden="false" customHeight="false" outlineLevel="0" collapsed="false">
      <c r="B40" s="8" t="s">
        <v>657</v>
      </c>
      <c r="E40" s="97" t="n">
        <f aca="false">12_Ertragsrechnung!$H$25/1000000</f>
        <v>8.25479715683932</v>
      </c>
      <c r="F40" s="8" t="s">
        <v>30</v>
      </c>
      <c r="G40" s="10"/>
    </row>
    <row r="41" customFormat="false" ht="15" hidden="false" customHeight="false" outlineLevel="0" collapsed="false">
      <c r="B41" s="8" t="s">
        <v>20</v>
      </c>
      <c r="E41" s="97" t="n">
        <f aca="false">12_Ertragsrechnung!$N$25/1000000</f>
        <v>6.63265029775532</v>
      </c>
      <c r="F41" s="8" t="s">
        <v>30</v>
      </c>
      <c r="G41" s="10"/>
    </row>
    <row r="42" customFormat="false" ht="15" hidden="false" customHeight="false" outlineLevel="0" collapsed="false">
      <c r="B42" s="8" t="s">
        <v>658</v>
      </c>
      <c r="E42" s="47" t="n">
        <f aca="false">E40/E34</f>
        <v>0.0459717920269721</v>
      </c>
      <c r="F42" s="8" t="s">
        <v>172</v>
      </c>
      <c r="G42" s="10" t="s">
        <v>659</v>
      </c>
    </row>
    <row r="43" customFormat="false" ht="15" hidden="false" customHeight="false" outlineLevel="0" collapsed="false">
      <c r="B43" s="8" t="s">
        <v>660</v>
      </c>
      <c r="E43" s="47" t="n">
        <f aca="false">E41/(E37+E38)</f>
        <v>0.0384362822571193</v>
      </c>
      <c r="F43" s="8" t="s">
        <v>172</v>
      </c>
      <c r="G43" s="10" t="s">
        <v>661</v>
      </c>
    </row>
    <row r="46" customFormat="false" ht="15" hidden="false" customHeight="false" outlineLevel="0" collapsed="false">
      <c r="B46" s="5" t="s">
        <v>662</v>
      </c>
    </row>
    <row r="47" customFormat="false" ht="19.5" hidden="false" customHeight="true" outlineLevel="0" collapsed="false">
      <c r="B47" s="6" t="s">
        <v>39</v>
      </c>
      <c r="C47" s="6" t="s">
        <v>226</v>
      </c>
      <c r="D47" s="7" t="s">
        <v>663</v>
      </c>
      <c r="E47" s="7" t="s">
        <v>664</v>
      </c>
      <c r="F47" s="7" t="s">
        <v>643</v>
      </c>
      <c r="G47" s="6" t="s">
        <v>8</v>
      </c>
    </row>
    <row r="48" customFormat="false" ht="15" hidden="false" customHeight="false" outlineLevel="0" collapsed="false">
      <c r="B48" s="8" t="s">
        <v>91</v>
      </c>
      <c r="C48" s="8" t="s">
        <v>235</v>
      </c>
      <c r="D48" s="95" t="n">
        <v>3.5</v>
      </c>
      <c r="E48" s="59" t="n">
        <f aca="false">D48</f>
        <v>3.5</v>
      </c>
      <c r="F48" s="59" t="n">
        <f aca="false">E48-D48</f>
        <v>0</v>
      </c>
      <c r="G48" s="8" t="s">
        <v>665</v>
      </c>
    </row>
    <row r="49" customFormat="false" ht="15" hidden="false" customHeight="false" outlineLevel="0" collapsed="false">
      <c r="B49" s="8" t="s">
        <v>93</v>
      </c>
      <c r="C49" s="8" t="s">
        <v>666</v>
      </c>
      <c r="D49" s="95" t="n">
        <v>2.5</v>
      </c>
      <c r="E49" s="59" t="n">
        <f aca="false">D49</f>
        <v>2.5</v>
      </c>
      <c r="F49" s="59" t="n">
        <f aca="false">E49-D49</f>
        <v>0</v>
      </c>
      <c r="G49" s="8" t="s">
        <v>667</v>
      </c>
    </row>
    <row r="50" customFormat="false" ht="15" hidden="false" customHeight="false" outlineLevel="0" collapsed="false">
      <c r="B50" s="8" t="s">
        <v>98</v>
      </c>
      <c r="C50" s="8" t="s">
        <v>668</v>
      </c>
      <c r="D50" s="95" t="n">
        <v>2</v>
      </c>
      <c r="E50" s="59" t="n">
        <f aca="false">D50</f>
        <v>2</v>
      </c>
      <c r="F50" s="59" t="n">
        <f aca="false">E50-D50</f>
        <v>0</v>
      </c>
      <c r="G50" s="8" t="s">
        <v>669</v>
      </c>
    </row>
    <row r="51" customFormat="false" ht="15" hidden="false" customHeight="false" outlineLevel="0" collapsed="false">
      <c r="B51" s="8" t="s">
        <v>95</v>
      </c>
      <c r="C51" s="8" t="s">
        <v>241</v>
      </c>
      <c r="D51" s="95" t="n">
        <v>0.5</v>
      </c>
      <c r="E51" s="59" t="n">
        <f aca="false">D51</f>
        <v>0.5</v>
      </c>
      <c r="F51" s="59" t="n">
        <f aca="false">E51-D51</f>
        <v>0</v>
      </c>
      <c r="G51" s="8" t="s">
        <v>670</v>
      </c>
    </row>
    <row r="53" customFormat="false" ht="15" hidden="false" customHeight="false" outlineLevel="0" collapsed="false">
      <c r="B53" s="20"/>
      <c r="C53" s="20" t="s">
        <v>671</v>
      </c>
      <c r="D53" s="53" t="n">
        <f aca="false">SUM(D48:D52)</f>
        <v>8.5</v>
      </c>
      <c r="E53" s="53" t="n">
        <f aca="false">SUM(E48:E52)</f>
        <v>8.5</v>
      </c>
      <c r="F53" s="53" t="n">
        <f aca="false">SUM(F48:F52)</f>
        <v>0</v>
      </c>
      <c r="G53" s="20"/>
    </row>
    <row r="54" customFormat="false" ht="15" hidden="false" customHeight="false" outlineLevel="0" collapsed="false">
      <c r="C54" s="8" t="s">
        <v>672</v>
      </c>
      <c r="D54" s="95" t="n">
        <v>1.5</v>
      </c>
      <c r="E54" s="59" t="n">
        <f aca="false">D54</f>
        <v>1.5</v>
      </c>
      <c r="F54" s="59" t="n">
        <f aca="false">E54-D54</f>
        <v>0</v>
      </c>
      <c r="G54" s="8" t="s">
        <v>673</v>
      </c>
    </row>
    <row r="55" customFormat="false" ht="15" hidden="false" customHeight="false" outlineLevel="0" collapsed="false">
      <c r="B55" s="20"/>
      <c r="C55" s="20" t="s">
        <v>674</v>
      </c>
      <c r="D55" s="53" t="n">
        <f aca="false">D53+D54</f>
        <v>10</v>
      </c>
      <c r="E55" s="53" t="n">
        <f aca="false">E53+E54</f>
        <v>10</v>
      </c>
      <c r="F55" s="53" t="n">
        <f aca="false">F53+F54</f>
        <v>0</v>
      </c>
      <c r="G55" s="20"/>
    </row>
    <row r="58" customFormat="false" ht="15" hidden="false" customHeight="false" outlineLevel="0" collapsed="false">
      <c r="B58" s="5" t="s">
        <v>675</v>
      </c>
    </row>
    <row r="59" customFormat="false" ht="19.5" hidden="false" customHeight="true" outlineLevel="0" collapsed="false">
      <c r="B59" s="6" t="s">
        <v>51</v>
      </c>
      <c r="C59" s="7"/>
      <c r="D59" s="7" t="s">
        <v>30</v>
      </c>
      <c r="E59" s="7"/>
      <c r="F59" s="6" t="s">
        <v>8</v>
      </c>
    </row>
    <row r="60" customFormat="false" ht="15" hidden="false" customHeight="false" outlineLevel="0" collapsed="false">
      <c r="B60" s="12" t="s">
        <v>676</v>
      </c>
      <c r="D60" s="96" t="n">
        <f aca="false">H11</f>
        <v>40</v>
      </c>
      <c r="F60" s="10" t="s">
        <v>677</v>
      </c>
    </row>
    <row r="61" customFormat="false" ht="15" hidden="false" customHeight="false" outlineLevel="0" collapsed="false">
      <c r="B61" s="8" t="s">
        <v>678</v>
      </c>
      <c r="D61" s="97" t="n">
        <f aca="false">E11-SUM(H16:H19)</f>
        <v>15.1843633089869</v>
      </c>
      <c r="F61" s="10" t="s">
        <v>679</v>
      </c>
    </row>
    <row r="62" customFormat="false" ht="15" hidden="false" customHeight="false" outlineLevel="0" collapsed="false">
      <c r="B62" s="8" t="s">
        <v>680</v>
      </c>
      <c r="D62" s="97" t="n">
        <f aca="false">SUM(I16:I19)-D11</f>
        <v>0</v>
      </c>
      <c r="F62" s="10" t="s">
        <v>681</v>
      </c>
    </row>
    <row r="63" customFormat="false" ht="15" hidden="false" customHeight="false" outlineLevel="0" collapsed="false">
      <c r="B63" s="8" t="s">
        <v>682</v>
      </c>
      <c r="D63" s="97" t="n">
        <f aca="false">G11-SUM(L16:L19)</f>
        <v>0</v>
      </c>
      <c r="F63" s="10" t="s">
        <v>681</v>
      </c>
    </row>
    <row r="64" customFormat="false" ht="15" hidden="false" customHeight="false" outlineLevel="0" collapsed="false">
      <c r="B64" s="8" t="s">
        <v>683</v>
      </c>
      <c r="D64" s="97" t="n">
        <f aca="false">M20</f>
        <v>8.20699967768348</v>
      </c>
      <c r="F64" s="10" t="s">
        <v>684</v>
      </c>
    </row>
    <row r="65" customFormat="false" ht="15" hidden="false" customHeight="false" outlineLevel="0" collapsed="false">
      <c r="B65" s="20" t="s">
        <v>685</v>
      </c>
      <c r="C65" s="20"/>
      <c r="D65" s="102" t="n">
        <f aca="false">SUM(D60:D64)</f>
        <v>63.3913629866704</v>
      </c>
      <c r="E65" s="20"/>
      <c r="F65" s="20" t="s">
        <v>686</v>
      </c>
    </row>
    <row r="66" customFormat="false" ht="15" hidden="false" customHeight="false" outlineLevel="0" collapsed="false">
      <c r="B66" s="8" t="s">
        <v>687</v>
      </c>
      <c r="D66" s="97" t="n">
        <f aca="false">D65-M21</f>
        <v>0</v>
      </c>
    </row>
    <row r="69" customFormat="false" ht="15" hidden="false" customHeight="false" outlineLevel="0" collapsed="false">
      <c r="B69" s="5" t="s">
        <v>688</v>
      </c>
    </row>
    <row r="70" customFormat="false" ht="43.5" hidden="false" customHeight="true" outlineLevel="0" collapsed="false">
      <c r="B70" s="6" t="s">
        <v>39</v>
      </c>
      <c r="C70" s="6" t="s">
        <v>226</v>
      </c>
      <c r="D70" s="7" t="s">
        <v>156</v>
      </c>
      <c r="E70" s="7" t="s">
        <v>158</v>
      </c>
      <c r="F70" s="7" t="s">
        <v>689</v>
      </c>
      <c r="G70" s="7" t="s">
        <v>633</v>
      </c>
      <c r="H70" s="7" t="s">
        <v>690</v>
      </c>
      <c r="I70" s="7" t="s">
        <v>691</v>
      </c>
      <c r="J70" s="7" t="s">
        <v>692</v>
      </c>
      <c r="K70" s="7" t="s">
        <v>693</v>
      </c>
      <c r="L70" s="7" t="s">
        <v>230</v>
      </c>
      <c r="M70" s="7" t="s">
        <v>40</v>
      </c>
    </row>
    <row r="71" customFormat="false" ht="15" hidden="false" customHeight="false" outlineLevel="0" collapsed="false">
      <c r="B71" s="12" t="s">
        <v>234</v>
      </c>
      <c r="C71" s="8" t="s">
        <v>235</v>
      </c>
      <c r="D71" s="97" t="n">
        <f aca="false">I16</f>
        <v>30</v>
      </c>
      <c r="E71" s="97" t="n">
        <f aca="false">H16</f>
        <v>19.5156751592357</v>
      </c>
      <c r="F71" s="97" t="n">
        <f aca="false">L16</f>
        <v>0</v>
      </c>
      <c r="G71" s="96" t="n">
        <f aca="false">M16</f>
        <v>10.4843248407643</v>
      </c>
      <c r="H71" s="97" t="n">
        <f aca="false">J16</f>
        <v>29.7237022278959</v>
      </c>
      <c r="I71" s="97" t="n">
        <f aca="false">N16</f>
        <v>10.2080270686603</v>
      </c>
      <c r="J71" s="97" t="n">
        <f aca="false">K16</f>
        <v>28.2686363655641</v>
      </c>
      <c r="K71" s="59" t="n">
        <f aca="false">E48</f>
        <v>3.5</v>
      </c>
      <c r="L71" s="34" t="n">
        <f aca="false">IF(E71=0,0,K71/E71)</f>
        <v>0.17934301383079</v>
      </c>
      <c r="M71" s="11" t="n">
        <f aca="false">01_Kennwerte!$J$6</f>
        <v>3614</v>
      </c>
    </row>
    <row r="72" customFormat="false" ht="15" hidden="false" customHeight="false" outlineLevel="0" collapsed="false">
      <c r="B72" s="30" t="s">
        <v>236</v>
      </c>
      <c r="C72" s="29" t="s">
        <v>237</v>
      </c>
      <c r="D72" s="101" t="n">
        <f aca="false">I17+I20</f>
        <v>35.5622226776835</v>
      </c>
      <c r="E72" s="101" t="n">
        <f aca="false">H17+H20</f>
        <v>23.808623</v>
      </c>
      <c r="F72" s="101" t="n">
        <f aca="false">L17+L20</f>
        <v>0</v>
      </c>
      <c r="G72" s="98" t="n">
        <f aca="false">M17+M20</f>
        <v>11.7535996776835</v>
      </c>
      <c r="H72" s="101" t="n">
        <f aca="false">J17+J20</f>
        <v>35.8471760465718</v>
      </c>
      <c r="I72" s="101" t="n">
        <f aca="false">N17+N20</f>
        <v>12.0385530465718</v>
      </c>
      <c r="J72" s="101" t="n">
        <f aca="false">K17+K20</f>
        <v>33.9318936333775</v>
      </c>
      <c r="K72" s="103" t="n">
        <f aca="false">E49</f>
        <v>2.5</v>
      </c>
      <c r="L72" s="52" t="n">
        <f aca="false">IF(E72=0,0,K72/E72)</f>
        <v>0.105003972720304</v>
      </c>
      <c r="M72" s="33" t="n">
        <f aca="false">01_Kennwerte!$J$7+01_Kennwerte!$J$9</f>
        <v>4922.35</v>
      </c>
    </row>
    <row r="73" customFormat="false" ht="15" hidden="false" customHeight="false" outlineLevel="0" collapsed="false">
      <c r="B73" s="12" t="s">
        <v>238</v>
      </c>
      <c r="C73" s="8" t="s">
        <v>239</v>
      </c>
      <c r="D73" s="97" t="n">
        <f aca="false">I18</f>
        <v>37</v>
      </c>
      <c r="E73" s="97" t="n">
        <f aca="false">H18</f>
        <v>27.2637281984441</v>
      </c>
      <c r="F73" s="97" t="n">
        <f aca="false">L18</f>
        <v>0</v>
      </c>
      <c r="G73" s="96" t="n">
        <f aca="false">M18</f>
        <v>9.73627180155594</v>
      </c>
      <c r="H73" s="97" t="n">
        <f aca="false">J18</f>
        <v>37.0484409625339</v>
      </c>
      <c r="I73" s="97" t="n">
        <f aca="false">N18</f>
        <v>9.78471276408983</v>
      </c>
      <c r="J73" s="97" t="n">
        <f aca="false">K18</f>
        <v>35.1543734254442</v>
      </c>
      <c r="K73" s="59" t="n">
        <f aca="false">E50</f>
        <v>2</v>
      </c>
      <c r="L73" s="34" t="n">
        <f aca="false">IF(E73=0,0,K73/E73)</f>
        <v>0.0733575388311765</v>
      </c>
      <c r="M73" s="11" t="n">
        <f aca="false">01_Kennwerte!$J$11+01_Kennwerte!$J$10</f>
        <v>6443</v>
      </c>
    </row>
    <row r="74" customFormat="false" ht="15" hidden="false" customHeight="false" outlineLevel="0" collapsed="false">
      <c r="B74" s="12" t="s">
        <v>240</v>
      </c>
      <c r="C74" s="8" t="s">
        <v>241</v>
      </c>
      <c r="D74" s="97" t="n">
        <f aca="false">I19</f>
        <v>77</v>
      </c>
      <c r="E74" s="97" t="n">
        <f aca="false">H19</f>
        <v>38.5828333333333</v>
      </c>
      <c r="F74" s="97" t="n">
        <f aca="false">L19</f>
        <v>7</v>
      </c>
      <c r="G74" s="96" t="n">
        <f aca="false">M19</f>
        <v>31.4171666666667</v>
      </c>
      <c r="H74" s="97" t="n">
        <f aca="false">J19</f>
        <v>59.6529995250226</v>
      </c>
      <c r="I74" s="97" t="n">
        <f aca="false">N19</f>
        <v>14.0701661916892</v>
      </c>
      <c r="J74" s="97" t="n">
        <f aca="false">K19</f>
        <v>56.732772352254</v>
      </c>
      <c r="K74" s="59" t="n">
        <f aca="false">E51</f>
        <v>0.5</v>
      </c>
      <c r="L74" s="34" t="n">
        <f aca="false">IF(E74=0,0,K74/E74)</f>
        <v>0.012959131219843</v>
      </c>
      <c r="M74" s="11" t="n">
        <f aca="false">01_Kennwerte!$J$8</f>
        <v>7249</v>
      </c>
    </row>
    <row r="75" customFormat="false" ht="15" hidden="false" customHeight="false" outlineLevel="0" collapsed="false">
      <c r="B75" s="20"/>
      <c r="C75" s="20" t="s">
        <v>694</v>
      </c>
      <c r="D75" s="102" t="n">
        <f aca="false">SUM(D71:D74)</f>
        <v>179.562222677683</v>
      </c>
      <c r="E75" s="102" t="n">
        <f aca="false">SUM(E71:E74)</f>
        <v>109.170859691013</v>
      </c>
      <c r="F75" s="102" t="n">
        <f aca="false">SUM(F71:F74)</f>
        <v>7</v>
      </c>
      <c r="G75" s="102" t="n">
        <f aca="false">SUM(G71:G74)</f>
        <v>63.3913629866704</v>
      </c>
      <c r="H75" s="102" t="n">
        <f aca="false">SUM(H71:H74)</f>
        <v>162.272318762024</v>
      </c>
      <c r="I75" s="102" t="n">
        <f aca="false">SUM(I71:I74)</f>
        <v>46.1014590710111</v>
      </c>
      <c r="J75" s="102" t="n">
        <f aca="false">SUM(J71:J74)</f>
        <v>154.08767577664</v>
      </c>
      <c r="K75" s="102" t="n">
        <f aca="false">SUM(K71:K74)</f>
        <v>8.5</v>
      </c>
      <c r="L75" s="54" t="n">
        <f aca="false">IF(E75=0,0,K75/E75)</f>
        <v>0.0778596048804379</v>
      </c>
      <c r="M75" s="23" t="n">
        <f aca="false">SUM(M71:M74)</f>
        <v>22228.35</v>
      </c>
    </row>
    <row r="76" customFormat="false" ht="15" hidden="false" customHeight="false" outlineLevel="0" collapsed="false">
      <c r="B76" s="4" t="s">
        <v>695</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G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44"/>
    <col collapsed="false" customWidth="true" hidden="false" outlineLevel="0" max="4" min="3" style="0" width="17"/>
    <col collapsed="false" customWidth="true" hidden="false" outlineLevel="0" max="5" min="5" style="0" width="16"/>
    <col collapsed="false" customWidth="true" hidden="false" outlineLevel="0" max="6" min="6" style="0" width="12"/>
    <col collapsed="false" customWidth="true" hidden="false" outlineLevel="0" max="7" min="7" style="0" width="56"/>
  </cols>
  <sheetData>
    <row r="2" customFormat="false" ht="19.7" hidden="false" customHeight="false" outlineLevel="0" collapsed="false">
      <c r="B2" s="26" t="s">
        <v>696</v>
      </c>
    </row>
    <row r="3" customFormat="false" ht="15" hidden="false" customHeight="false" outlineLevel="0" collapsed="false">
      <c r="B3" s="4" t="s">
        <v>697</v>
      </c>
    </row>
    <row r="5" customFormat="false" ht="21.75" hidden="false" customHeight="true" outlineLevel="0" collapsed="false">
      <c r="B5" s="6" t="s">
        <v>5</v>
      </c>
      <c r="C5" s="7" t="s">
        <v>641</v>
      </c>
      <c r="D5" s="7" t="s">
        <v>642</v>
      </c>
      <c r="E5" s="7" t="s">
        <v>643</v>
      </c>
      <c r="F5" s="7" t="s">
        <v>644</v>
      </c>
      <c r="G5" s="6" t="s">
        <v>8</v>
      </c>
    </row>
    <row r="6" customFormat="false" ht="15" hidden="false" customHeight="false" outlineLevel="0" collapsed="false">
      <c r="B6" s="8" t="s">
        <v>698</v>
      </c>
      <c r="C6" s="27" t="n">
        <v>20574.27</v>
      </c>
      <c r="D6" s="28" t="n">
        <f aca="false">12_Ertragsrechnung!$E$25</f>
        <v>22228.0096</v>
      </c>
      <c r="E6" s="28" t="n">
        <f aca="false">D6-C6</f>
        <v>1653.7396</v>
      </c>
      <c r="F6" s="34" t="n">
        <f aca="false">IF(C6=0,0,E6/C6)</f>
        <v>0.0803790170927086</v>
      </c>
      <c r="G6" s="10" t="s">
        <v>699</v>
      </c>
    </row>
    <row r="7" customFormat="false" ht="15" hidden="false" customHeight="false" outlineLevel="0" collapsed="false">
      <c r="B7" s="8" t="s">
        <v>700</v>
      </c>
      <c r="C7" s="27" t="n">
        <v>7206075.29</v>
      </c>
      <c r="D7" s="28" t="n">
        <f aca="false">12_Ertragsrechnung!$H$25</f>
        <v>8254797.15683932</v>
      </c>
      <c r="E7" s="28" t="n">
        <f aca="false">D7-C7</f>
        <v>1048721.86683932</v>
      </c>
      <c r="F7" s="34" t="n">
        <f aca="false">IF(C7=0,0,E7/C7)</f>
        <v>0.145533015495224</v>
      </c>
      <c r="G7" s="10"/>
    </row>
    <row r="8" customFormat="false" ht="15" hidden="false" customHeight="false" outlineLevel="0" collapsed="false">
      <c r="B8" s="8" t="s">
        <v>53</v>
      </c>
      <c r="C8" s="27" t="n">
        <v>5946084.51</v>
      </c>
      <c r="D8" s="28" t="n">
        <f aca="false">12_Ertragsrechnung!$N$25</f>
        <v>6632650.29775532</v>
      </c>
      <c r="E8" s="28" t="n">
        <f aca="false">D8-C8</f>
        <v>686565.787755315</v>
      </c>
      <c r="F8" s="34" t="n">
        <f aca="false">IF(C8=0,0,E8/C8)</f>
        <v>0.115465191690542</v>
      </c>
      <c r="G8" s="10"/>
    </row>
    <row r="9" customFormat="false" ht="15" hidden="false" customHeight="false" outlineLevel="0" collapsed="false">
      <c r="B9" s="12" t="s">
        <v>701</v>
      </c>
      <c r="C9" s="27" t="n">
        <v>150171121.18</v>
      </c>
      <c r="D9" s="62" t="n">
        <f aca="false">13_Bewertung!$G$26</f>
        <v>162272318.762024</v>
      </c>
      <c r="E9" s="28" t="n">
        <f aca="false">D9-C9</f>
        <v>12101197.5820242</v>
      </c>
      <c r="F9" s="34" t="n">
        <f aca="false">IF(C9=0,0,E9/C9)</f>
        <v>0.0805827211446287</v>
      </c>
      <c r="G9" s="10"/>
    </row>
    <row r="10" customFormat="false" ht="15" hidden="false" customHeight="false" outlineLevel="0" collapsed="false">
      <c r="B10" s="8" t="s">
        <v>702</v>
      </c>
      <c r="C10" s="27" t="n">
        <v>142721664.3</v>
      </c>
      <c r="D10" s="28" t="n">
        <f aca="false">13_Bewertung!$J$26</f>
        <v>154087675.77664</v>
      </c>
      <c r="E10" s="28" t="n">
        <f aca="false">D10-C10</f>
        <v>11366011.4766396</v>
      </c>
      <c r="F10" s="34" t="n">
        <f aca="false">IF(C10=0,0,E10/C10)</f>
        <v>0.0796376046508843</v>
      </c>
      <c r="G10" s="10"/>
    </row>
    <row r="11" customFormat="false" ht="15" hidden="false" customHeight="false" outlineLevel="0" collapsed="false">
      <c r="B11" s="8" t="s">
        <v>26</v>
      </c>
      <c r="C11" s="68" t="n">
        <v>0.047986</v>
      </c>
      <c r="D11" s="47" t="n">
        <f aca="false">12_Ertragsrechnung!$H$25/13_Bewertung!$G$26</f>
        <v>0.050870026507387</v>
      </c>
      <c r="E11" s="47" t="n">
        <f aca="false">D11-C11</f>
        <v>0.00288402650738701</v>
      </c>
      <c r="F11" s="34" t="n">
        <f aca="false">IF(C11=0,0,E11/C11)</f>
        <v>0.0601014151499814</v>
      </c>
      <c r="G11" s="10"/>
    </row>
    <row r="12" customFormat="false" ht="15" hidden="false" customHeight="false" outlineLevel="0" collapsed="false">
      <c r="B12" s="8" t="s">
        <v>28</v>
      </c>
      <c r="C12" s="68" t="n">
        <v>0.039595</v>
      </c>
      <c r="D12" s="47" t="n">
        <f aca="false">12_Ertragsrechnung!$N$25/13_Bewertung!$G$26</f>
        <v>0.0408735781207529</v>
      </c>
      <c r="E12" s="47" t="n">
        <f aca="false">D12-C12</f>
        <v>0.00127857812075292</v>
      </c>
      <c r="F12" s="34" t="n">
        <f aca="false">IF(C12=0,0,E12/C12)</f>
        <v>0.0322914034790483</v>
      </c>
      <c r="G12" s="10"/>
    </row>
    <row r="13" customFormat="false" ht="15" hidden="false" customHeight="false" outlineLevel="0" collapsed="false">
      <c r="B13" s="8" t="s">
        <v>703</v>
      </c>
      <c r="C13" s="27" t="n">
        <v>7298.98</v>
      </c>
      <c r="D13" s="28" t="n">
        <f aca="false">13_Bewertung!$G$26/12_Ertragsrechnung!$E$25</f>
        <v>7300.35309873288</v>
      </c>
      <c r="E13" s="28" t="n">
        <f aca="false">D13-C13</f>
        <v>1.37309873287995</v>
      </c>
      <c r="F13" s="34" t="n">
        <f aca="false">IF(C13=0,0,E13/C13)</f>
        <v>0.000188122002372928</v>
      </c>
      <c r="G13" s="10"/>
    </row>
    <row r="14" customFormat="false" ht="15" hidden="false" customHeight="false" outlineLevel="0" collapsed="false">
      <c r="B14" s="29" t="s">
        <v>704</v>
      </c>
      <c r="C14" s="31" t="n">
        <v>2467</v>
      </c>
      <c r="D14" s="32" t="n">
        <f aca="false">13_Bewertung!$D$43</f>
        <v>4120.7396</v>
      </c>
      <c r="E14" s="32" t="n">
        <f aca="false">D14-C14</f>
        <v>1653.7396</v>
      </c>
      <c r="F14" s="52" t="n">
        <f aca="false">IF(C14=0,0,E14/C14)</f>
        <v>0.670344385893798</v>
      </c>
      <c r="G14" s="58" t="s">
        <v>705</v>
      </c>
    </row>
    <row r="15" customFormat="false" ht="15" hidden="false" customHeight="false" outlineLevel="0" collapsed="false">
      <c r="B15" s="29" t="s">
        <v>706</v>
      </c>
      <c r="C15" s="31" t="n">
        <v>836141.1</v>
      </c>
      <c r="D15" s="32" t="n">
        <f aca="false">13_Bewertung!$E$43</f>
        <v>1884862.97170776</v>
      </c>
      <c r="E15" s="32" t="n">
        <f aca="false">D15-C15</f>
        <v>1048721.87170776</v>
      </c>
      <c r="F15" s="52" t="n">
        <f aca="false">IF(C15=0,0,E15/C15)</f>
        <v>1.25424030909108</v>
      </c>
      <c r="G15" s="58" t="s">
        <v>707</v>
      </c>
    </row>
    <row r="16" customFormat="false" ht="15" hidden="false" customHeight="false" outlineLevel="0" collapsed="false">
      <c r="B16" s="29" t="s">
        <v>708</v>
      </c>
      <c r="C16" s="31" t="n">
        <v>17461025.09</v>
      </c>
      <c r="D16" s="32" t="n">
        <f aca="false">13_Bewertung!$G$43</f>
        <v>29562222.6776835</v>
      </c>
      <c r="E16" s="32" t="n">
        <f aca="false">D16-C16</f>
        <v>12101197.5876835</v>
      </c>
      <c r="F16" s="52" t="n">
        <f aca="false">IF(C16=0,0,E16/C16)</f>
        <v>0.693040501649235</v>
      </c>
      <c r="G16" s="58" t="s">
        <v>709</v>
      </c>
    </row>
    <row r="17" customFormat="false" ht="15" hidden="false" customHeight="false" outlineLevel="0" collapsed="false">
      <c r="B17" s="12" t="s">
        <v>710</v>
      </c>
      <c r="C17" s="95" t="n">
        <v>40</v>
      </c>
      <c r="D17" s="55" t="n">
        <f aca="false">16_Residualwert!$M$21</f>
        <v>63.3913629866704</v>
      </c>
      <c r="E17" s="59" t="n">
        <f aca="false">D17-C17</f>
        <v>23.3913629866704</v>
      </c>
      <c r="F17" s="34" t="n">
        <f aca="false">IF(C17=0,0,E17/C17)</f>
        <v>0.58478407466676</v>
      </c>
      <c r="G17" s="10" t="s">
        <v>711</v>
      </c>
    </row>
    <row r="18" customFormat="false" ht="15" hidden="false" customHeight="false" outlineLevel="0" collapsed="false">
      <c r="B18" s="8" t="s">
        <v>645</v>
      </c>
      <c r="C18" s="95" t="n">
        <v>150</v>
      </c>
      <c r="D18" s="59" t="n">
        <f aca="false">16_Residualwert!$I$21</f>
        <v>179.562222677683</v>
      </c>
      <c r="E18" s="59" t="n">
        <f aca="false">D18-C18</f>
        <v>29.5622226776835</v>
      </c>
      <c r="F18" s="34" t="n">
        <f aca="false">IF(C18=0,0,E18/C18)</f>
        <v>0.19708148451789</v>
      </c>
      <c r="G18" s="10"/>
    </row>
    <row r="19" customFormat="false" ht="15" hidden="false" customHeight="false" outlineLevel="0" collapsed="false">
      <c r="B19" s="8" t="s">
        <v>646</v>
      </c>
      <c r="C19" s="95" t="n">
        <v>103</v>
      </c>
      <c r="D19" s="59" t="n">
        <f aca="false">16_Residualwert!$H$21</f>
        <v>109.170859691013</v>
      </c>
      <c r="E19" s="59" t="n">
        <f aca="false">D19-C19</f>
        <v>6.17085969101305</v>
      </c>
      <c r="F19" s="34" t="n">
        <f aca="false">IF(C19=0,0,E19/C19)</f>
        <v>0.059911259136049</v>
      </c>
      <c r="G19" s="10" t="s">
        <v>712</v>
      </c>
    </row>
    <row r="21" customFormat="false" ht="15" hidden="false" customHeight="false" outlineLevel="0" collapsed="false">
      <c r="B21" s="4" t="s">
        <v>713</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G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5"/>
    <col collapsed="false" customWidth="true" hidden="false" outlineLevel="0" max="3" min="3" style="0" width="26"/>
    <col collapsed="false" customWidth="true" hidden="false" outlineLevel="0" max="4" min="4" style="0" width="58"/>
    <col collapsed="false" customWidth="true" hidden="false" outlineLevel="0" max="5" min="5" style="0" width="32"/>
    <col collapsed="false" customWidth="true" hidden="false" outlineLevel="0" max="6" min="6" style="0" width="50"/>
    <col collapsed="false" customWidth="true" hidden="false" outlineLevel="0" max="7" min="7" style="0" width="22"/>
  </cols>
  <sheetData>
    <row r="2" customFormat="false" ht="19.7" hidden="false" customHeight="false" outlineLevel="0" collapsed="false">
      <c r="B2" s="26" t="s">
        <v>714</v>
      </c>
    </row>
    <row r="3" customFormat="false" ht="15" hidden="false" customHeight="false" outlineLevel="0" collapsed="false">
      <c r="B3" s="4" t="s">
        <v>715</v>
      </c>
    </row>
    <row r="5" customFormat="false" ht="21.75" hidden="false" customHeight="true" outlineLevel="0" collapsed="false">
      <c r="B5" s="6" t="s">
        <v>72</v>
      </c>
      <c r="C5" s="6" t="s">
        <v>716</v>
      </c>
      <c r="D5" s="6" t="s">
        <v>717</v>
      </c>
      <c r="E5" s="6" t="s">
        <v>718</v>
      </c>
      <c r="F5" s="6" t="s">
        <v>719</v>
      </c>
      <c r="G5" s="6" t="s">
        <v>720</v>
      </c>
    </row>
    <row r="6" customFormat="false" ht="23.85" hidden="false" customHeight="false" outlineLevel="0" collapsed="false">
      <c r="B6" s="104" t="n">
        <v>1</v>
      </c>
      <c r="C6" s="105" t="s">
        <v>721</v>
      </c>
      <c r="D6" s="105" t="s">
        <v>722</v>
      </c>
      <c r="E6" s="105" t="s">
        <v>723</v>
      </c>
      <c r="F6" s="105" t="s">
        <v>724</v>
      </c>
      <c r="G6" s="105" t="s">
        <v>725</v>
      </c>
    </row>
    <row r="7" customFormat="false" ht="23.85" hidden="false" customHeight="false" outlineLevel="0" collapsed="false">
      <c r="B7" s="104" t="n">
        <v>2</v>
      </c>
      <c r="C7" s="105" t="s">
        <v>726</v>
      </c>
      <c r="D7" s="105" t="s">
        <v>727</v>
      </c>
      <c r="E7" s="105" t="s">
        <v>728</v>
      </c>
      <c r="F7" s="105" t="s">
        <v>729</v>
      </c>
      <c r="G7" s="105" t="s">
        <v>730</v>
      </c>
    </row>
    <row r="8" customFormat="false" ht="23.85" hidden="false" customHeight="false" outlineLevel="0" collapsed="false">
      <c r="B8" s="104" t="n">
        <v>3</v>
      </c>
      <c r="C8" s="105" t="s">
        <v>731</v>
      </c>
      <c r="D8" s="105" t="s">
        <v>732</v>
      </c>
      <c r="E8" s="105" t="s">
        <v>733</v>
      </c>
      <c r="F8" s="105" t="s">
        <v>734</v>
      </c>
      <c r="G8" s="105" t="s">
        <v>735</v>
      </c>
    </row>
    <row r="9" customFormat="false" ht="23.85" hidden="false" customHeight="false" outlineLevel="0" collapsed="false">
      <c r="B9" s="104" t="n">
        <v>4</v>
      </c>
      <c r="C9" s="105" t="s">
        <v>736</v>
      </c>
      <c r="D9" s="105" t="s">
        <v>737</v>
      </c>
      <c r="E9" s="105" t="s">
        <v>738</v>
      </c>
      <c r="F9" s="105" t="s">
        <v>739</v>
      </c>
      <c r="G9" s="105" t="s">
        <v>740</v>
      </c>
    </row>
    <row r="10" customFormat="false" ht="23.85" hidden="false" customHeight="false" outlineLevel="0" collapsed="false">
      <c r="B10" s="104" t="n">
        <v>5</v>
      </c>
      <c r="C10" s="105" t="s">
        <v>741</v>
      </c>
      <c r="D10" s="105" t="s">
        <v>742</v>
      </c>
      <c r="E10" s="105" t="s">
        <v>743</v>
      </c>
      <c r="F10" s="105" t="s">
        <v>744</v>
      </c>
      <c r="G10" s="105" t="s">
        <v>745</v>
      </c>
    </row>
    <row r="11" customFormat="false" ht="23.85" hidden="false" customHeight="false" outlineLevel="0" collapsed="false">
      <c r="B11" s="104" t="n">
        <v>6</v>
      </c>
      <c r="C11" s="105" t="s">
        <v>746</v>
      </c>
      <c r="D11" s="105" t="s">
        <v>747</v>
      </c>
      <c r="E11" s="105" t="s">
        <v>748</v>
      </c>
      <c r="F11" s="105" t="s">
        <v>749</v>
      </c>
      <c r="G11" s="106" t="s">
        <v>256</v>
      </c>
    </row>
    <row r="12" customFormat="false" ht="23.85" hidden="false" customHeight="false" outlineLevel="0" collapsed="false">
      <c r="B12" s="104" t="n">
        <v>7</v>
      </c>
      <c r="C12" s="105" t="s">
        <v>750</v>
      </c>
      <c r="D12" s="105" t="s">
        <v>751</v>
      </c>
      <c r="E12" s="105" t="s">
        <v>752</v>
      </c>
      <c r="F12" s="105" t="s">
        <v>753</v>
      </c>
      <c r="G12" s="105" t="s">
        <v>754</v>
      </c>
    </row>
    <row r="13" customFormat="false" ht="23.85" hidden="false" customHeight="false" outlineLevel="0" collapsed="false">
      <c r="B13" s="104" t="n">
        <v>8</v>
      </c>
      <c r="C13" s="105" t="s">
        <v>755</v>
      </c>
      <c r="D13" s="105" t="s">
        <v>756</v>
      </c>
      <c r="E13" s="105" t="s">
        <v>757</v>
      </c>
      <c r="F13" s="105" t="s">
        <v>758</v>
      </c>
      <c r="G13" s="105" t="s">
        <v>740</v>
      </c>
    </row>
    <row r="14" customFormat="false" ht="35.05" hidden="false" customHeight="false" outlineLevel="0" collapsed="false">
      <c r="B14" s="104" t="n">
        <v>9</v>
      </c>
      <c r="C14" s="105" t="s">
        <v>759</v>
      </c>
      <c r="D14" s="105" t="s">
        <v>760</v>
      </c>
      <c r="E14" s="105" t="s">
        <v>761</v>
      </c>
      <c r="F14" s="105" t="s">
        <v>762</v>
      </c>
      <c r="G14" s="105" t="s">
        <v>763</v>
      </c>
    </row>
    <row r="15" customFormat="false" ht="35.05" hidden="false" customHeight="false" outlineLevel="0" collapsed="false">
      <c r="B15" s="104" t="n">
        <v>10</v>
      </c>
      <c r="C15" s="105" t="s">
        <v>764</v>
      </c>
      <c r="D15" s="105" t="s">
        <v>765</v>
      </c>
      <c r="E15" s="105" t="s">
        <v>766</v>
      </c>
      <c r="F15" s="105" t="s">
        <v>767</v>
      </c>
      <c r="G15" s="105" t="s">
        <v>725</v>
      </c>
    </row>
    <row r="16" customFormat="false" ht="23.85" hidden="false" customHeight="false" outlineLevel="0" collapsed="false">
      <c r="B16" s="104" t="n">
        <v>11</v>
      </c>
      <c r="C16" s="105" t="s">
        <v>768</v>
      </c>
      <c r="D16" s="105" t="s">
        <v>769</v>
      </c>
      <c r="E16" s="105" t="s">
        <v>770</v>
      </c>
      <c r="F16" s="105" t="s">
        <v>771</v>
      </c>
      <c r="G16" s="105" t="s">
        <v>772</v>
      </c>
    </row>
    <row r="17" customFormat="false" ht="35.05" hidden="false" customHeight="false" outlineLevel="0" collapsed="false">
      <c r="B17" s="104" t="n">
        <v>12</v>
      </c>
      <c r="C17" s="105" t="s">
        <v>773</v>
      </c>
      <c r="D17" s="105" t="s">
        <v>774</v>
      </c>
      <c r="E17" s="105" t="s">
        <v>775</v>
      </c>
      <c r="F17" s="105" t="s">
        <v>776</v>
      </c>
      <c r="G17" s="105" t="s">
        <v>763</v>
      </c>
    </row>
    <row r="18" customFormat="false" ht="35.05" hidden="false" customHeight="false" outlineLevel="0" collapsed="false">
      <c r="B18" s="104" t="n">
        <v>13</v>
      </c>
      <c r="C18" s="105" t="s">
        <v>777</v>
      </c>
      <c r="D18" s="105" t="s">
        <v>778</v>
      </c>
      <c r="E18" s="105" t="s">
        <v>779</v>
      </c>
      <c r="F18" s="105" t="s">
        <v>780</v>
      </c>
      <c r="G18" s="105" t="s">
        <v>740</v>
      </c>
    </row>
    <row r="19" customFormat="false" ht="23.85" hidden="false" customHeight="false" outlineLevel="0" collapsed="false">
      <c r="B19" s="104" t="n">
        <v>14</v>
      </c>
      <c r="C19" s="105" t="s">
        <v>781</v>
      </c>
      <c r="D19" s="105" t="s">
        <v>782</v>
      </c>
      <c r="E19" s="105" t="s">
        <v>783</v>
      </c>
      <c r="F19" s="105" t="s">
        <v>784</v>
      </c>
      <c r="G19" s="105" t="s">
        <v>754</v>
      </c>
    </row>
    <row r="20" customFormat="false" ht="23.85" hidden="false" customHeight="false" outlineLevel="0" collapsed="false">
      <c r="B20" s="104" t="n">
        <v>15</v>
      </c>
      <c r="C20" s="105" t="s">
        <v>785</v>
      </c>
      <c r="D20" s="105" t="s">
        <v>786</v>
      </c>
      <c r="E20" s="105" t="s">
        <v>787</v>
      </c>
      <c r="F20" s="105" t="s">
        <v>307</v>
      </c>
      <c r="G20" s="105" t="s">
        <v>788</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C4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30"/>
    <col collapsed="false" customWidth="true" hidden="false" outlineLevel="0" max="3" min="3" style="0" width="110"/>
  </cols>
  <sheetData>
    <row r="2" customFormat="false" ht="19.7" hidden="false" customHeight="false" outlineLevel="0" collapsed="false">
      <c r="B2" s="107" t="s">
        <v>789</v>
      </c>
    </row>
    <row r="4" customFormat="false" ht="15" hidden="false" customHeight="false" outlineLevel="0" collapsed="false">
      <c r="B4" s="108" t="s">
        <v>790</v>
      </c>
      <c r="C4" s="108" t="s">
        <v>791</v>
      </c>
    </row>
    <row r="5" customFormat="false" ht="23.85" hidden="false" customHeight="false" outlineLevel="0" collapsed="false">
      <c r="B5" s="109" t="s">
        <v>792</v>
      </c>
      <c r="C5" s="110" t="s">
        <v>793</v>
      </c>
    </row>
    <row r="7" customFormat="false" ht="15" hidden="false" customHeight="false" outlineLevel="0" collapsed="false">
      <c r="B7" s="109" t="s">
        <v>794</v>
      </c>
      <c r="C7" s="110" t="s">
        <v>795</v>
      </c>
    </row>
    <row r="9" customFormat="false" ht="15" hidden="false" customHeight="false" outlineLevel="0" collapsed="false">
      <c r="B9" s="109" t="s">
        <v>564</v>
      </c>
      <c r="C9" s="110" t="s">
        <v>796</v>
      </c>
    </row>
    <row r="11" customFormat="false" ht="23.85" hidden="false" customHeight="false" outlineLevel="0" collapsed="false">
      <c r="B11" s="109" t="s">
        <v>797</v>
      </c>
      <c r="C11" s="110" t="s">
        <v>798</v>
      </c>
    </row>
    <row r="13" customFormat="false" ht="15" hidden="false" customHeight="false" outlineLevel="0" collapsed="false">
      <c r="B13" s="109" t="s">
        <v>799</v>
      </c>
      <c r="C13" s="110" t="s">
        <v>800</v>
      </c>
    </row>
    <row r="15" customFormat="false" ht="23.85" hidden="false" customHeight="false" outlineLevel="0" collapsed="false">
      <c r="B15" s="109" t="s">
        <v>801</v>
      </c>
      <c r="C15" s="110" t="s">
        <v>802</v>
      </c>
    </row>
    <row r="17" customFormat="false" ht="15" hidden="false" customHeight="false" outlineLevel="0" collapsed="false">
      <c r="B17" s="109" t="s">
        <v>690</v>
      </c>
      <c r="C17" s="110" t="s">
        <v>803</v>
      </c>
    </row>
    <row r="19" customFormat="false" ht="23.85" hidden="false" customHeight="false" outlineLevel="0" collapsed="false">
      <c r="B19" s="109" t="s">
        <v>167</v>
      </c>
      <c r="C19" s="110" t="s">
        <v>804</v>
      </c>
    </row>
    <row r="21" customFormat="false" ht="15" hidden="false" customHeight="false" outlineLevel="0" collapsed="false">
      <c r="B21" s="109" t="s">
        <v>44</v>
      </c>
      <c r="C21" s="110" t="s">
        <v>805</v>
      </c>
    </row>
    <row r="23" customFormat="false" ht="23.85" hidden="false" customHeight="false" outlineLevel="0" collapsed="false">
      <c r="B23" s="109" t="s">
        <v>806</v>
      </c>
      <c r="C23" s="110" t="s">
        <v>807</v>
      </c>
    </row>
    <row r="25" customFormat="false" ht="23.85" hidden="false" customHeight="false" outlineLevel="0" collapsed="false">
      <c r="B25" s="109" t="s">
        <v>218</v>
      </c>
      <c r="C25" s="110" t="s">
        <v>808</v>
      </c>
    </row>
    <row r="27" customFormat="false" ht="15" hidden="false" customHeight="false" outlineLevel="0" collapsed="false">
      <c r="B27" s="109" t="s">
        <v>809</v>
      </c>
      <c r="C27" s="110" t="s">
        <v>810</v>
      </c>
    </row>
    <row r="29" customFormat="false" ht="23.85" hidden="false" customHeight="false" outlineLevel="0" collapsed="false">
      <c r="B29" s="109" t="s">
        <v>811</v>
      </c>
      <c r="C29" s="110" t="s">
        <v>812</v>
      </c>
    </row>
    <row r="31" customFormat="false" ht="15" hidden="false" customHeight="false" outlineLevel="0" collapsed="false">
      <c r="B31" s="109" t="s">
        <v>813</v>
      </c>
      <c r="C31" s="110" t="s">
        <v>814</v>
      </c>
    </row>
    <row r="35" customFormat="false" ht="15" hidden="false" customHeight="false" outlineLevel="0" collapsed="false">
      <c r="B35" s="109" t="s">
        <v>815</v>
      </c>
    </row>
    <row r="36" customFormat="false" ht="15" hidden="false" customHeight="false" outlineLevel="0" collapsed="false">
      <c r="B36" s="109" t="s">
        <v>816</v>
      </c>
      <c r="C36" s="110" t="s">
        <v>817</v>
      </c>
    </row>
    <row r="37" customFormat="false" ht="15" hidden="false" customHeight="false" outlineLevel="0" collapsed="false">
      <c r="B37" s="109" t="s">
        <v>818</v>
      </c>
      <c r="C37" s="110" t="s">
        <v>819</v>
      </c>
    </row>
    <row r="38" customFormat="false" ht="23.85" hidden="false" customHeight="false" outlineLevel="0" collapsed="false">
      <c r="B38" s="109" t="s">
        <v>820</v>
      </c>
      <c r="C38" s="110" t="s">
        <v>821</v>
      </c>
    </row>
    <row r="39" customFormat="false" ht="15" hidden="false" customHeight="false" outlineLevel="0" collapsed="false">
      <c r="B39" s="109" t="s">
        <v>822</v>
      </c>
      <c r="C39" s="110" t="s">
        <v>823</v>
      </c>
    </row>
    <row r="40" customFormat="false" ht="23.85" hidden="false" customHeight="false" outlineLevel="0" collapsed="false">
      <c r="B40" s="109" t="s">
        <v>824</v>
      </c>
      <c r="C40" s="110" t="s">
        <v>825</v>
      </c>
    </row>
    <row r="42" customFormat="false" ht="23.85" hidden="false" customHeight="false" outlineLevel="0" collapsed="false">
      <c r="B42" s="24" t="s">
        <v>621</v>
      </c>
      <c r="C42" s="110" t="s">
        <v>826</v>
      </c>
    </row>
    <row r="43" customFormat="false" ht="23.85" hidden="false" customHeight="false" outlineLevel="0" collapsed="false">
      <c r="B43" s="24" t="s">
        <v>827</v>
      </c>
      <c r="C43" s="110" t="s">
        <v>828</v>
      </c>
    </row>
    <row r="44" customFormat="false" ht="23.85" hidden="false" customHeight="false" outlineLevel="0" collapsed="false">
      <c r="B44" s="24" t="s">
        <v>736</v>
      </c>
      <c r="C44" s="110" t="s">
        <v>829</v>
      </c>
    </row>
    <row r="45" customFormat="false" ht="23.85" hidden="false" customHeight="false" outlineLevel="0" collapsed="false">
      <c r="B45" s="24" t="s">
        <v>830</v>
      </c>
      <c r="C45" s="110" t="s">
        <v>831</v>
      </c>
    </row>
    <row r="46" customFormat="false" ht="15" hidden="false" customHeight="false" outlineLevel="0" collapsed="false">
      <c r="B46" s="24" t="s">
        <v>832</v>
      </c>
      <c r="C46" s="110" t="s">
        <v>833</v>
      </c>
    </row>
    <row r="47" customFormat="false" ht="23.85" hidden="false" customHeight="false" outlineLevel="0" collapsed="false">
      <c r="B47" s="24" t="s">
        <v>834</v>
      </c>
      <c r="C47" s="110" t="s">
        <v>835</v>
      </c>
    </row>
    <row r="48" customFormat="false" ht="15" hidden="false" customHeight="false" outlineLevel="0" collapsed="false">
      <c r="B48" s="24" t="s">
        <v>836</v>
      </c>
      <c r="C48" s="110" t="s">
        <v>837</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2026-09-28T10:33:26Z</dcterms:created>
  <dc:creator>openpyxl</dc:creator>
  <dc:description/>
  <dc:language>en-US</dc:language>
  <cp:lastModifiedBy/>
  <dcterms:modified xsi:type="dcterms:W3CDTF">2026-09-28T10:33:26Z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